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O:\A\Septics and Wells\Site Plan Review Calculations\"/>
    </mc:Choice>
  </mc:AlternateContent>
  <xr:revisionPtr revIDLastSave="0" documentId="13_ncr:1_{A24EB8DD-C2E2-4642-AC5C-EDF267CAEB81}" xr6:coauthVersionLast="45" xr6:coauthVersionMax="45" xr10:uidLastSave="{00000000-0000-0000-0000-000000000000}"/>
  <bookViews>
    <workbookView xWindow="-108" yWindow="-108" windowWidth="23256" windowHeight="12576" tabRatio="705" activeTab="1" xr2:uid="{00000000-000D-0000-FFFF-FFFF00000000}"/>
  </bookViews>
  <sheets>
    <sheet name="Permit Status" sheetId="9" r:id="rId1"/>
    <sheet name="Gravity and Flood Dose" sheetId="1" r:id="rId2"/>
    <sheet name="Presby 10-1-19" sheetId="10" r:id="rId3"/>
    <sheet name="ATL" sheetId="7" r:id="rId4"/>
    <sheet name="Sand Mound" sheetId="4" r:id="rId5"/>
    <sheet name="Pressure Distribution Center " sheetId="2" r:id="rId6"/>
    <sheet name="Pressure Distribution End Feed" sheetId="5" r:id="rId7"/>
    <sheet name="Pressure Header" sheetId="6" r:id="rId8"/>
    <sheet name="ATU for Existing Systems" sheetId="8" r:id="rId9"/>
  </sheets>
  <definedNames>
    <definedName name="_xlnm.Print_Area" localSheetId="3">ATL!$A$1:$J$53</definedName>
    <definedName name="_xlnm.Print_Area" localSheetId="8">'ATU for Existing Systems'!$A$1:$J$36</definedName>
    <definedName name="_xlnm.Print_Area" localSheetId="1">'Gravity and Flood Dose'!$A$1:$J$56</definedName>
    <definedName name="_xlnm.Print_Area" localSheetId="2">'Presby 10-1-19'!$A$1:$J$52</definedName>
    <definedName name="_xlnm.Print_Area" localSheetId="6">'Pressure Distribution End Feed'!$A$1:$Q$39</definedName>
    <definedName name="_xlnm.Print_Area" localSheetId="4">'Sand Mound'!$A$1:$J$61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0" l="1"/>
  <c r="C6" i="1"/>
  <c r="G8" i="10" l="1"/>
  <c r="N34" i="1" l="1"/>
  <c r="N33" i="1"/>
  <c r="I37" i="1"/>
  <c r="I38" i="1"/>
  <c r="G16" i="7"/>
  <c r="G6" i="7"/>
  <c r="I42" i="7"/>
  <c r="I41" i="7"/>
  <c r="C28" i="7"/>
  <c r="G26" i="7"/>
  <c r="G23" i="7"/>
  <c r="A23" i="7"/>
  <c r="A24" i="7"/>
  <c r="G22" i="7"/>
  <c r="G24" i="7" s="1"/>
  <c r="C6" i="7"/>
  <c r="C7" i="7"/>
  <c r="C8" i="7" s="1"/>
  <c r="G12" i="10"/>
  <c r="G13" i="10" s="1"/>
  <c r="G10" i="10"/>
  <c r="J32" i="10" s="1"/>
  <c r="G9" i="10"/>
  <c r="I37" i="10"/>
  <c r="I36" i="10"/>
  <c r="G16" i="10"/>
  <c r="G25" i="10"/>
  <c r="G22" i="10"/>
  <c r="A21" i="10"/>
  <c r="A22" i="10" s="1"/>
  <c r="G21" i="10"/>
  <c r="G6" i="10" s="1"/>
  <c r="G11" i="10"/>
  <c r="C5" i="10"/>
  <c r="H23" i="1"/>
  <c r="I44" i="1"/>
  <c r="A11" i="1"/>
  <c r="E35" i="1"/>
  <c r="E34" i="1"/>
  <c r="E33" i="1"/>
  <c r="E32" i="1"/>
  <c r="E31" i="1"/>
  <c r="E30" i="1"/>
  <c r="E29" i="1"/>
  <c r="E28" i="1"/>
  <c r="E27" i="1"/>
  <c r="E26" i="1"/>
  <c r="E25" i="1"/>
  <c r="F24" i="8"/>
  <c r="F23" i="8"/>
  <c r="A15" i="1"/>
  <c r="A16" i="1"/>
  <c r="C20" i="1"/>
  <c r="J51" i="4"/>
  <c r="C28" i="1"/>
  <c r="D28" i="1"/>
  <c r="P8" i="1"/>
  <c r="P7" i="1"/>
  <c r="P6" i="1"/>
  <c r="P5" i="1"/>
  <c r="P4" i="1"/>
  <c r="P3" i="1"/>
  <c r="P9" i="1" s="1"/>
  <c r="C7" i="4"/>
  <c r="H10" i="4" s="1"/>
  <c r="H9" i="4"/>
  <c r="H12" i="4" s="1"/>
  <c r="G12" i="1"/>
  <c r="G14" i="1" s="1"/>
  <c r="G16" i="1"/>
  <c r="G13" i="1"/>
  <c r="I26" i="1"/>
  <c r="E43" i="1" s="1"/>
  <c r="C35" i="1"/>
  <c r="D35" i="1"/>
  <c r="C34" i="1"/>
  <c r="D34" i="1" s="1"/>
  <c r="C33" i="1"/>
  <c r="D33" i="1"/>
  <c r="C32" i="1"/>
  <c r="D32" i="1" s="1"/>
  <c r="C31" i="1"/>
  <c r="D31" i="1"/>
  <c r="C30" i="1"/>
  <c r="D30" i="1" s="1"/>
  <c r="C29" i="1"/>
  <c r="D29" i="1"/>
  <c r="C27" i="1"/>
  <c r="D27" i="1" s="1"/>
  <c r="C26" i="1"/>
  <c r="D26" i="1"/>
  <c r="C25" i="1"/>
  <c r="D25" i="1" s="1"/>
  <c r="C5" i="1"/>
  <c r="C7" i="1"/>
  <c r="F5" i="1"/>
  <c r="I27" i="1" s="1"/>
  <c r="I28" i="1" s="1"/>
  <c r="I31" i="1"/>
  <c r="I34" i="1"/>
  <c r="G41" i="1"/>
  <c r="G42" i="1"/>
  <c r="I22" i="2"/>
  <c r="I23" i="2"/>
  <c r="I24" i="2"/>
  <c r="I25" i="2"/>
  <c r="I26" i="2"/>
  <c r="I27" i="2"/>
  <c r="I28" i="2"/>
  <c r="P9" i="2"/>
  <c r="P29" i="2" s="1"/>
  <c r="C18" i="2" s="1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C25" i="2"/>
  <c r="C6" i="2"/>
  <c r="E22" i="2"/>
  <c r="C22" i="2" s="1"/>
  <c r="C24" i="2" s="1"/>
  <c r="C30" i="2"/>
  <c r="C31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I10" i="2"/>
  <c r="I11" i="2"/>
  <c r="I12" i="2"/>
  <c r="I13" i="2"/>
  <c r="I14" i="2"/>
  <c r="I15" i="2"/>
  <c r="I16" i="2"/>
  <c r="I17" i="2"/>
  <c r="I18" i="2"/>
  <c r="I19" i="2"/>
  <c r="I20" i="2"/>
  <c r="I9" i="2"/>
  <c r="I29" i="2" s="1"/>
  <c r="C19" i="2" s="1"/>
  <c r="H29" i="2"/>
  <c r="E19" i="2"/>
  <c r="C38" i="2"/>
  <c r="P9" i="5"/>
  <c r="P10" i="5"/>
  <c r="P11" i="5"/>
  <c r="P12" i="5"/>
  <c r="P29" i="5" s="1"/>
  <c r="C18" i="5" s="1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C21" i="5"/>
  <c r="C25" i="5" s="1"/>
  <c r="O29" i="5"/>
  <c r="C6" i="5"/>
  <c r="E22" i="5"/>
  <c r="C22" i="5" s="1"/>
  <c r="C24" i="5" s="1"/>
  <c r="C30" i="5"/>
  <c r="C31" i="5"/>
  <c r="X31" i="5"/>
  <c r="L28" i="5"/>
  <c r="L27" i="5"/>
  <c r="L26" i="5"/>
  <c r="L25" i="5"/>
  <c r="L24" i="5"/>
  <c r="L23" i="5"/>
  <c r="L22" i="5"/>
  <c r="L21" i="5"/>
  <c r="L19" i="5"/>
  <c r="L18" i="5"/>
  <c r="L17" i="5"/>
  <c r="L16" i="5"/>
  <c r="L15" i="5"/>
  <c r="L14" i="5"/>
  <c r="L13" i="5"/>
  <c r="L12" i="5"/>
  <c r="L11" i="5"/>
  <c r="L10" i="5"/>
  <c r="L20" i="5"/>
  <c r="I10" i="5"/>
  <c r="I11" i="5"/>
  <c r="I12" i="5"/>
  <c r="I13" i="5"/>
  <c r="I14" i="5"/>
  <c r="I15" i="5"/>
  <c r="I16" i="5"/>
  <c r="I17" i="5"/>
  <c r="I18" i="5"/>
  <c r="I9" i="5"/>
  <c r="I29" i="5" s="1"/>
  <c r="C19" i="5" s="1"/>
  <c r="I19" i="5"/>
  <c r="I20" i="5"/>
  <c r="I21" i="5"/>
  <c r="I22" i="5"/>
  <c r="I23" i="5"/>
  <c r="I24" i="5"/>
  <c r="I25" i="5"/>
  <c r="I26" i="5"/>
  <c r="I27" i="5"/>
  <c r="I28" i="5"/>
  <c r="E19" i="5"/>
  <c r="L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H29" i="5"/>
  <c r="C38" i="5"/>
  <c r="C8" i="5"/>
  <c r="C10" i="5"/>
  <c r="F17" i="6"/>
  <c r="G17" i="6" s="1"/>
  <c r="C22" i="6" s="1"/>
  <c r="C21" i="6"/>
  <c r="F6" i="6"/>
  <c r="D40" i="6" s="1"/>
  <c r="C32" i="6"/>
  <c r="C17" i="6"/>
  <c r="C18" i="6" s="1"/>
  <c r="C6" i="6"/>
  <c r="C7" i="6"/>
  <c r="A12" i="6" s="1"/>
  <c r="G39" i="6"/>
  <c r="G38" i="6"/>
  <c r="C31" i="6"/>
  <c r="C33" i="6" s="1"/>
  <c r="G6" i="6"/>
  <c r="C12" i="4"/>
  <c r="D21" i="4"/>
  <c r="B22" i="4"/>
  <c r="A27" i="4" s="1"/>
  <c r="E45" i="4"/>
  <c r="M7" i="4"/>
  <c r="M8" i="4"/>
  <c r="C5" i="4" s="1"/>
  <c r="A53" i="4" s="1"/>
  <c r="M9" i="4"/>
  <c r="F45" i="4"/>
  <c r="H45" i="4" s="1"/>
  <c r="H36" i="4"/>
  <c r="G37" i="4"/>
  <c r="F36" i="4" s="1"/>
  <c r="C33" i="4"/>
  <c r="H15" i="4"/>
  <c r="H41" i="4"/>
  <c r="H42" i="4" s="1"/>
  <c r="A20" i="4"/>
  <c r="F12" i="4"/>
  <c r="D43" i="1"/>
  <c r="G5" i="1"/>
  <c r="C9" i="7"/>
  <c r="A10" i="7"/>
  <c r="C23" i="4"/>
  <c r="G34" i="4" s="1"/>
  <c r="C8" i="2"/>
  <c r="C10" i="2"/>
  <c r="A10" i="1"/>
  <c r="J31" i="10" l="1"/>
  <c r="G23" i="10"/>
  <c r="G24" i="10" s="1"/>
  <c r="H34" i="4"/>
  <c r="B27" i="4"/>
  <c r="A28" i="4" s="1"/>
  <c r="B28" i="4" s="1"/>
  <c r="H23" i="4" s="1"/>
  <c r="H18" i="4"/>
  <c r="H19" i="4" s="1"/>
  <c r="C16" i="4"/>
  <c r="B17" i="4" s="1"/>
  <c r="D26" i="6"/>
  <c r="D27" i="6" s="1"/>
  <c r="C23" i="6"/>
  <c r="B8" i="10"/>
  <c r="B7" i="10"/>
  <c r="A9" i="10"/>
  <c r="C34" i="4"/>
  <c r="A37" i="4" s="1"/>
  <c r="C32" i="5"/>
  <c r="A26" i="5"/>
  <c r="G15" i="1"/>
  <c r="H20" i="1"/>
  <c r="C21" i="1" s="1"/>
  <c r="A23" i="1" s="1"/>
  <c r="C22" i="1"/>
  <c r="G25" i="7"/>
  <c r="H29" i="7"/>
  <c r="C29" i="7" s="1"/>
  <c r="A26" i="2"/>
  <c r="C8" i="6"/>
  <c r="C36" i="4"/>
  <c r="H43" i="4" s="1"/>
  <c r="G19" i="10" l="1"/>
  <c r="G17" i="10" s="1"/>
  <c r="G18" i="10" s="1"/>
  <c r="A31" i="7"/>
  <c r="C30" i="7"/>
  <c r="H30" i="6"/>
  <c r="H22" i="6"/>
  <c r="H26" i="6"/>
  <c r="H29" i="6"/>
  <c r="H27" i="6"/>
  <c r="H25" i="6"/>
  <c r="H24" i="6"/>
  <c r="H28" i="6"/>
  <c r="H21" i="6"/>
  <c r="H23" i="6"/>
  <c r="F32" i="4"/>
  <c r="H24" i="4"/>
  <c r="D41" i="4" s="1"/>
  <c r="G27" i="4" s="1"/>
  <c r="E55" i="4"/>
  <c r="E54" i="4"/>
  <c r="B18" i="4"/>
  <c r="E20" i="10" l="1"/>
  <c r="G28" i="4"/>
  <c r="C39" i="4"/>
  <c r="B4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gvargas</author>
  </authors>
  <commentList>
    <comment ref="I23" authorId="0" shapeId="0" xr:uid="{00000000-0006-0000-0200-000003000000}">
      <text>
        <r>
          <rPr>
            <b/>
            <sz val="10"/>
            <color indexed="81"/>
            <rFont val="Tahoma"/>
            <family val="2"/>
          </rPr>
          <t>Dose Volume based on 6 doses per day.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gvargas</author>
  </authors>
  <commentList>
    <comment ref="I24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>Dose Volume based on 6 doses per day.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julie</author>
  </authors>
  <commentList>
    <comment ref="F1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Formula for H10 in the event it is deleted when manually inserting values.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Formula for H11 in the event that it is deleted when manually inserting values.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 shapeId="0" xr:uid="{00000000-0006-0000-0100-000003000000}">
      <text>
        <r>
          <rPr>
            <sz val="8"/>
            <color indexed="81"/>
            <rFont val="Tahoma"/>
            <family val="2"/>
          </rPr>
          <t xml:space="preserve">These values may be adjusted manually (within limits) to fit the proposed septic site as long as the minimum square footage remains  the same or greater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Haan</author>
  </authors>
  <commentList>
    <comment ref="O8" authorId="0" shapeId="0" xr:uid="{00000000-0006-0000-0400-000001000000}">
      <text>
        <r>
          <rPr>
            <sz val="8"/>
            <color indexed="81"/>
            <rFont val="Tahoma"/>
            <family val="2"/>
          </rPr>
          <t xml:space="preserve">To obtain these numbers:
Add 1 if Remainder is &lt;.5 
Add 2 if Remainder is &gt;=.5  
</t>
        </r>
      </text>
    </comment>
    <comment ref="A13" authorId="0" shapeId="0" xr:uid="{00000000-0006-0000-0400-000002000000}">
      <text>
        <r>
          <rPr>
            <sz val="8"/>
            <color indexed="81"/>
            <rFont val="Tahoma"/>
            <family val="2"/>
          </rPr>
          <t xml:space="preserve">Highest Elevation-Off Float Elevation
</t>
        </r>
      </text>
    </comment>
    <comment ref="A15" authorId="0" shapeId="0" xr:uid="{00000000-0006-0000-0400-000003000000}">
      <text>
        <r>
          <rPr>
            <sz val="8"/>
            <color indexed="81"/>
            <rFont val="Tahoma"/>
            <family val="2"/>
          </rPr>
          <t xml:space="preserve">Lateral diameter is a function of lateral length and hole spacing. Use Lateral Diameter Graph
</t>
        </r>
      </text>
    </comment>
    <comment ref="A16" authorId="0" shapeId="0" xr:uid="{00000000-0006-0000-0400-000004000000}">
      <text>
        <r>
          <rPr>
            <sz val="8"/>
            <color indexed="81"/>
            <rFont val="Tahoma"/>
            <family val="2"/>
          </rPr>
          <t xml:space="preserve">Function of Length, Flow and # of Laterals. 
Use Rule Table IX
</t>
        </r>
      </text>
    </comment>
    <comment ref="E19" authorId="0" shapeId="0" xr:uid="{00000000-0006-0000-0400-000005000000}">
      <text>
        <r>
          <rPr>
            <sz val="8"/>
            <color indexed="81"/>
            <rFont val="Tahoma"/>
            <family val="2"/>
          </rPr>
          <t xml:space="preserve">This value is calculated using Volume Chart.
</t>
        </r>
      </text>
    </comment>
    <comment ref="A20" authorId="0" shapeId="0" xr:uid="{00000000-0006-0000-0400-000006000000}">
      <text>
        <r>
          <rPr>
            <sz val="8"/>
            <color indexed="81"/>
            <rFont val="Tahoma"/>
            <family val="2"/>
          </rPr>
          <t>Friction Loss is a function of system flow , force main diameter and length.  Type value from Friction Loss Chart into green box.</t>
        </r>
      </text>
    </comment>
    <comment ref="E22" authorId="0" shapeId="0" xr:uid="{00000000-0006-0000-0400-000007000000}">
      <text>
        <r>
          <rPr>
            <sz val="8"/>
            <color indexed="81"/>
            <rFont val="Tahoma"/>
            <family val="2"/>
          </rPr>
          <t xml:space="preserve">This value is calculated using Volume Chart.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Haan</author>
  </authors>
  <commentList>
    <comment ref="O3" authorId="0" shapeId="0" xr:uid="{00000000-0006-0000-0500-000001000000}">
      <text>
        <r>
          <rPr>
            <sz val="8"/>
            <color indexed="81"/>
            <rFont val="Tahoma"/>
            <family val="2"/>
          </rPr>
          <t xml:space="preserve">To obtain this number: 
Add 1 if remainder is &lt;.5
Add 2 if remainder is &gt;=.5
</t>
        </r>
      </text>
    </comment>
    <comment ref="A13" authorId="0" shapeId="0" xr:uid="{00000000-0006-0000-0500-000002000000}">
      <text>
        <r>
          <rPr>
            <sz val="8"/>
            <color indexed="81"/>
            <rFont val="Tahoma"/>
            <family val="2"/>
          </rPr>
          <t xml:space="preserve">Highest Elevation-Off Float Elevation
</t>
        </r>
      </text>
    </comment>
    <comment ref="B14" authorId="0" shapeId="0" xr:uid="{00000000-0006-0000-0500-000003000000}">
      <text>
        <r>
          <rPr>
            <sz val="8"/>
            <color indexed="81"/>
            <rFont val="Tahoma"/>
            <family val="2"/>
          </rPr>
          <t xml:space="preserve">Soil Load Rates </t>
        </r>
        <r>
          <rPr>
            <sz val="8"/>
            <color indexed="81"/>
            <rFont val="Arial"/>
            <family val="2"/>
          </rPr>
          <t>Determine Hole Spacing
SLR .75       3-5 feet
SLR .50       3-6 feet
SLR .30       3-7 feet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Arial"/>
            <family val="2"/>
          </rPr>
          <t>SLR .25       3-7 feet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0" shapeId="0" xr:uid="{00000000-0006-0000-0500-000004000000}">
      <text>
        <r>
          <rPr>
            <sz val="8"/>
            <color indexed="81"/>
            <rFont val="Tahoma"/>
            <family val="2"/>
          </rPr>
          <t xml:space="preserve">Lateral diameter is a function of lateral length and hole spacing. Use Lateral Diameter Graph
</t>
        </r>
      </text>
    </comment>
    <comment ref="A16" authorId="0" shapeId="0" xr:uid="{00000000-0006-0000-0500-000005000000}">
      <text>
        <r>
          <rPr>
            <sz val="8"/>
            <color indexed="81"/>
            <rFont val="Tahoma"/>
            <family val="2"/>
          </rPr>
          <t xml:space="preserve">Function of Length, Flow and # of Laterals. 
Use Rule Table IX
</t>
        </r>
      </text>
    </comment>
    <comment ref="E19" authorId="0" shapeId="0" xr:uid="{00000000-0006-0000-0500-000006000000}">
      <text>
        <r>
          <rPr>
            <sz val="8"/>
            <color indexed="81"/>
            <rFont val="Tahoma"/>
            <family val="2"/>
          </rPr>
          <t xml:space="preserve">This value is calculated using Volume Chart.
</t>
        </r>
      </text>
    </comment>
    <comment ref="A20" authorId="0" shapeId="0" xr:uid="{00000000-0006-0000-0500-000007000000}">
      <text>
        <r>
          <rPr>
            <sz val="8"/>
            <color indexed="81"/>
            <rFont val="Tahoma"/>
            <family val="2"/>
          </rPr>
          <t xml:space="preserve">Friction Loss is a function of system flow , force main diameter and length.  Type value from Friction Loss Chart into green box.
</t>
        </r>
      </text>
    </comment>
    <comment ref="E22" authorId="0" shapeId="0" xr:uid="{00000000-0006-0000-0500-000008000000}">
      <text>
        <r>
          <rPr>
            <sz val="8"/>
            <color indexed="81"/>
            <rFont val="Tahoma"/>
            <family val="2"/>
          </rPr>
          <t xml:space="preserve">This value is calculated using Volume Chart.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Nicholas</author>
  </authors>
  <commentList>
    <comment ref="E30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Obtain this value from Friction Head Loss Chart at Required GPM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<sst xmlns="http://schemas.openxmlformats.org/spreadsheetml/2006/main" count="849" uniqueCount="355">
  <si>
    <t xml:space="preserve">Site Plan Review Calculations </t>
  </si>
  <si>
    <t>SF/FT of Depth</t>
  </si>
  <si>
    <t>Length of Tank</t>
  </si>
  <si>
    <t>Width of Tank</t>
  </si>
  <si>
    <t>Dose Tank</t>
  </si>
  <si>
    <t>Gal/Ft of Depth</t>
  </si>
  <si>
    <t>Dose Volume Required</t>
  </si>
  <si>
    <t>No. of Bedrooms</t>
  </si>
  <si>
    <t>gallons/day</t>
  </si>
  <si>
    <t>Drainback</t>
  </si>
  <si>
    <t>Length of Pipe</t>
  </si>
  <si>
    <t>Size of Pipe</t>
  </si>
  <si>
    <t>Storage Required</t>
  </si>
  <si>
    <t>Gallons of Drainback</t>
  </si>
  <si>
    <t>Static Head Loss</t>
  </si>
  <si>
    <t>Elevations:</t>
  </si>
  <si>
    <t>D-Box Invert</t>
  </si>
  <si>
    <t>Off Position</t>
  </si>
  <si>
    <t>Friction Head Loss</t>
  </si>
  <si>
    <t>Feet</t>
  </si>
  <si>
    <t>Total Dynamic Head</t>
  </si>
  <si>
    <t>Elev High Side</t>
  </si>
  <si>
    <t>Elev Low Side</t>
  </si>
  <si>
    <t>ft of fall</t>
  </si>
  <si>
    <t>Width of Field</t>
  </si>
  <si>
    <t>% slope</t>
  </si>
  <si>
    <t>Permit Number:</t>
  </si>
  <si>
    <t>Name:</t>
  </si>
  <si>
    <t>SLR</t>
  </si>
  <si>
    <t># Bedrooms</t>
  </si>
  <si>
    <t>Required Footage</t>
  </si>
  <si>
    <t>Soil:</t>
  </si>
  <si>
    <t>(.25&lt;SLR&gt;1.20)</t>
  </si>
  <si>
    <t>Depth to Limiting Layer:</t>
  </si>
  <si>
    <t>Depth to Water Table:</t>
  </si>
  <si>
    <t>Subdivision Plan Checked</t>
  </si>
  <si>
    <t>Minor Plat Checked</t>
  </si>
  <si>
    <t>Soil Boring in Septic Field</t>
  </si>
  <si>
    <t>Footage Required Matches Drawing</t>
  </si>
  <si>
    <t>Tank Sizes Correct</t>
  </si>
  <si>
    <t>Location of Well &gt; 50ft</t>
  </si>
  <si>
    <t>Other Separation Distances</t>
  </si>
  <si>
    <t>Equal Distribution</t>
  </si>
  <si>
    <t>Correct # of Fingers</t>
  </si>
  <si>
    <t>Trenches 10"-36"</t>
  </si>
  <si>
    <t>Trenches at least 7.5ft on Center</t>
  </si>
  <si>
    <t>Gravity System 30" Above limiting layer</t>
  </si>
  <si>
    <t>Flood Dose System 24" above limiting layer</t>
  </si>
  <si>
    <t>Comments:</t>
  </si>
  <si>
    <t>Soil Scientist:</t>
  </si>
  <si>
    <t>DATE:</t>
  </si>
  <si>
    <t>SSD Elevations &amp; Fall Checked</t>
  </si>
  <si>
    <t xml:space="preserve">Easements, Separation Distances, Outlet for SSD </t>
  </si>
  <si>
    <t>Number of Bedrooms</t>
  </si>
  <si>
    <t>Daily Design Flow</t>
  </si>
  <si>
    <t>gpd</t>
  </si>
  <si>
    <t>Loading Rate of Sand</t>
  </si>
  <si>
    <t>Aggregate Bed Area</t>
  </si>
  <si>
    <t>sq.ft</t>
  </si>
  <si>
    <t>Soil Load Rate</t>
  </si>
  <si>
    <t>Basal Area</t>
  </si>
  <si>
    <t>Delivery Line Length</t>
  </si>
  <si>
    <t>ft</t>
  </si>
  <si>
    <t>Delivery Line Diameter</t>
  </si>
  <si>
    <t>Static Head</t>
  </si>
  <si>
    <t>LEVEL SITE</t>
  </si>
  <si>
    <t>SLOPING SITE</t>
  </si>
  <si>
    <t>Total Width of Basal Area</t>
  </si>
  <si>
    <t>width</t>
  </si>
  <si>
    <t>w/2</t>
  </si>
  <si>
    <t>Length of Lateral End Cap to End Cap</t>
  </si>
  <si>
    <t>Laterals</t>
  </si>
  <si>
    <t>Distribution Lateral Holes Layout</t>
  </si>
  <si>
    <t>Lateral Flow</t>
  </si>
  <si>
    <t>gpm</t>
  </si>
  <si>
    <t>#of Holes =Lateral-1.5/3+x</t>
  </si>
  <si>
    <t>System Flow</t>
  </si>
  <si>
    <t>Rounded System Flow and Diameter of Delivery Line, Length of Delivery Line Rule, Table VIII</t>
  </si>
  <si>
    <t>Manifold Diameter</t>
  </si>
  <si>
    <t>Manifold Length</t>
  </si>
  <si>
    <t xml:space="preserve">Dosage </t>
  </si>
  <si>
    <t>Volume of Laterals=#from chart*feet of lateral</t>
  </si>
  <si>
    <t>Lateral Separation between 2 and 3 feet</t>
  </si>
  <si>
    <t>Edge Separation of Laterals 1 to 1.5 feet</t>
  </si>
  <si>
    <t>End Separation = 1.5 feet</t>
  </si>
  <si>
    <t>Diameter of Lateral</t>
  </si>
  <si>
    <t>Number of Laterals</t>
  </si>
  <si>
    <t>number of holes/lateral</t>
  </si>
  <si>
    <t>gpm per lateral</t>
  </si>
  <si>
    <t>in.</t>
  </si>
  <si>
    <t>Volume of Distrib.lateral</t>
  </si>
  <si>
    <t>Actual Dose</t>
  </si>
  <si>
    <t>gpm/lateral</t>
  </si>
  <si>
    <t>Is Slope 6% or less</t>
  </si>
  <si>
    <t>No soil horizons within 20" of ground surface .25&lt;SLR &gt;1.25</t>
  </si>
  <si>
    <t>Suggested Aggregate Bed Maximum Width</t>
  </si>
  <si>
    <t>Suggested Aggregate Bed Length</t>
  </si>
  <si>
    <t>SQRT(DDF*SLR/3)*.83</t>
  </si>
  <si>
    <t>inches</t>
  </si>
  <si>
    <t>Mound on Contour</t>
  </si>
  <si>
    <t>gallons</t>
  </si>
  <si>
    <t>Drainback of Delivery Line</t>
  </si>
  <si>
    <t>Aggregate Bed Area/MaxWidth</t>
  </si>
  <si>
    <t>Slope of Site</t>
  </si>
  <si>
    <t>Forcemain Length</t>
  </si>
  <si>
    <t>Absorbtion Area</t>
  </si>
  <si>
    <t>Lineal Length of Trench Required</t>
  </si>
  <si>
    <t>Trench Width</t>
  </si>
  <si>
    <t>ft.</t>
  </si>
  <si>
    <t>sq.ft.</t>
  </si>
  <si>
    <t>Holes Spacing</t>
  </si>
  <si>
    <t>ft. apart</t>
  </si>
  <si>
    <t>Length</t>
  </si>
  <si>
    <t>Lateral Diameter</t>
  </si>
  <si>
    <t>Forcemain Diameter</t>
  </si>
  <si>
    <t>Drainback of Forcemain</t>
  </si>
  <si>
    <t>gal/ft</t>
  </si>
  <si>
    <t>gal/ft.</t>
  </si>
  <si>
    <t>Volume of Laterals</t>
  </si>
  <si>
    <t>Dose Tank Size Acceptable</t>
  </si>
  <si>
    <t>gallon</t>
  </si>
  <si>
    <t>Total Dose</t>
  </si>
  <si>
    <t>Separation Distances Met</t>
  </si>
  <si>
    <t>If on sloping site must be on contours</t>
  </si>
  <si>
    <t>Lateral Diameter 1"-3"</t>
  </si>
  <si>
    <t xml:space="preserve">Forcemain and Manifold Diameter 2"-4" </t>
  </si>
  <si>
    <t>Pipe Length</t>
  </si>
  <si>
    <t>Pipe PVC/ASTM D 2241 or 1785</t>
  </si>
  <si>
    <t>T-4</t>
  </si>
  <si>
    <t>T-1</t>
  </si>
  <si>
    <t>T-2</t>
  </si>
  <si>
    <t>T-3</t>
  </si>
  <si>
    <t>T-5</t>
  </si>
  <si>
    <t>T-6</t>
  </si>
  <si>
    <t>T-7</t>
  </si>
  <si>
    <t>T-8</t>
  </si>
  <si>
    <t>T-9</t>
  </si>
  <si>
    <t>T-10</t>
  </si>
  <si>
    <t>T-11</t>
  </si>
  <si>
    <t>T-12</t>
  </si>
  <si>
    <t>T-13</t>
  </si>
  <si>
    <t>T-14</t>
  </si>
  <si>
    <t>T-15</t>
  </si>
  <si>
    <t>T-16</t>
  </si>
  <si>
    <t>T-17</t>
  </si>
  <si>
    <t>T-18</t>
  </si>
  <si>
    <t>T-19</t>
  </si>
  <si>
    <t>T-20</t>
  </si>
  <si>
    <t>Trench</t>
  </si>
  <si>
    <t>Septic</t>
  </si>
  <si>
    <t>Dose</t>
  </si>
  <si>
    <t xml:space="preserve">Trenches &lt;= 100ft. </t>
  </si>
  <si>
    <t>Trenches at least 7.5' On Center</t>
  </si>
  <si>
    <t>50' From Well</t>
  </si>
  <si>
    <t>Individual Lateral Length of  50' or less</t>
  </si>
  <si>
    <t>Septic Tank Required</t>
  </si>
  <si>
    <t>Date:</t>
  </si>
  <si>
    <t>A</t>
  </si>
  <si>
    <t>B</t>
  </si>
  <si>
    <t xml:space="preserve"> Total Holes/Trench</t>
  </si>
  <si>
    <t>Lateral Hole Layout</t>
  </si>
  <si>
    <r>
      <t xml:space="preserve">Lateral </t>
    </r>
    <r>
      <rPr>
        <b/>
        <sz val="8"/>
        <rFont val="Arial"/>
        <family val="2"/>
      </rPr>
      <t>A</t>
    </r>
  </si>
  <si>
    <r>
      <t xml:space="preserve">Lateral </t>
    </r>
    <r>
      <rPr>
        <b/>
        <sz val="8"/>
        <rFont val="Arial"/>
        <family val="2"/>
      </rPr>
      <t>B</t>
    </r>
  </si>
  <si>
    <r>
      <t>A</t>
    </r>
    <r>
      <rPr>
        <sz val="8"/>
        <rFont val="Arial"/>
        <family val="2"/>
      </rPr>
      <t xml:space="preserve"> Calculated Holes</t>
    </r>
  </si>
  <si>
    <r>
      <t>B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Calculated Holes</t>
    </r>
  </si>
  <si>
    <t>Dispersal Area Adequate</t>
  </si>
  <si>
    <t>Calculated Holes</t>
  </si>
  <si>
    <t>Calculated Friction Loss</t>
  </si>
  <si>
    <t>Forcemain Friction Loss Value</t>
  </si>
  <si>
    <t>Holes</t>
  </si>
  <si>
    <t>Individual Lateral Length of  55' or less</t>
  </si>
  <si>
    <t>TotalHoles</t>
  </si>
  <si>
    <t>Total Holes After Formula Applied</t>
  </si>
  <si>
    <t>Is outlet for SSD a legal drain?</t>
  </si>
  <si>
    <t>Is a Right of Way Permit Required?</t>
  </si>
  <si>
    <t>Minimum Subsurface Drain Depth</t>
  </si>
  <si>
    <t xml:space="preserve">at </t>
  </si>
  <si>
    <t>ft. of head.</t>
  </si>
  <si>
    <t>**This system requires a pump to pump about</t>
  </si>
  <si>
    <t>(at leat 24"-30" below deepest trench or 2" into compact till.)</t>
  </si>
  <si>
    <t>gravity</t>
  </si>
  <si>
    <t>dosed</t>
  </si>
  <si>
    <t>max depth</t>
  </si>
  <si>
    <t>Lake &gt; 50' Stream, Ditch or Drainage Tile &gt;25'</t>
  </si>
  <si>
    <t>Number of 1/4" holes</t>
  </si>
  <si>
    <t>Length of Trench</t>
  </si>
  <si>
    <t>per Discharge Pipe:</t>
  </si>
  <si>
    <t>Total Dosage</t>
  </si>
  <si>
    <t>Lineal Feet Required for 3' trench:</t>
  </si>
  <si>
    <t xml:space="preserve">Total Discharge Rate (TDR): </t>
  </si>
  <si>
    <t>GPM Per Lineal Feet:</t>
  </si>
  <si>
    <t>.5 hole = one 3/16" hole</t>
  </si>
  <si>
    <t>D-box on high side?</t>
  </si>
  <si>
    <t>Meets and Bounds Property checked with Planning</t>
  </si>
  <si>
    <t>Trench Depth</t>
  </si>
  <si>
    <t>SSD Depth</t>
  </si>
  <si>
    <t>=</t>
  </si>
  <si>
    <t>Recorded secondary easement</t>
  </si>
  <si>
    <t>(required for MIP 906 + and MAP 654 +)</t>
  </si>
  <si>
    <t xml:space="preserve">Length of Trench </t>
  </si>
  <si>
    <t>Number of Trenches</t>
  </si>
  <si>
    <t>Square footage required</t>
  </si>
  <si>
    <t>Ground Elevation</t>
  </si>
  <si>
    <t>Trench Bottom</t>
  </si>
  <si>
    <r>
      <t>Diff. In Fee</t>
    </r>
    <r>
      <rPr>
        <sz val="10"/>
        <rFont val="Arial"/>
        <family val="2"/>
      </rPr>
      <t>t</t>
    </r>
  </si>
  <si>
    <t>Diff. In Inches</t>
  </si>
  <si>
    <t>Soil Borings in Septic Field</t>
  </si>
  <si>
    <t xml:space="preserve">Pump should pump </t>
  </si>
  <si>
    <t>Hazen-Williams Equation for Friction Loss</t>
  </si>
  <si>
    <t>Area of suggested Aggregate Bed</t>
  </si>
  <si>
    <t>Manifold Elevation</t>
  </si>
  <si>
    <t>Off position</t>
  </si>
  <si>
    <t>Off Float</t>
  </si>
  <si>
    <t>On Float</t>
  </si>
  <si>
    <t>Storage Proposed</t>
  </si>
  <si>
    <t>SB in field</t>
  </si>
  <si>
    <t>%</t>
  </si>
  <si>
    <t>Aggregate bed width between 4 and 10 feet</t>
  </si>
  <si>
    <t>Soil Scientist</t>
  </si>
  <si>
    <t>Soil</t>
  </si>
  <si>
    <t>Depth to Limiting Layer</t>
  </si>
  <si>
    <t>Depth to Water Table</t>
  </si>
  <si>
    <t>Friction Loss</t>
  </si>
  <si>
    <t>Dose Volume</t>
  </si>
  <si>
    <t>Fall required for gravity sewer</t>
  </si>
  <si>
    <t>Fall required for SSD</t>
  </si>
  <si>
    <t>Proposed Storage Volume</t>
  </si>
  <si>
    <t>Cash</t>
  </si>
  <si>
    <t>Tank</t>
  </si>
  <si>
    <t>Size</t>
  </si>
  <si>
    <t>Gal/Ft of depth</t>
  </si>
  <si>
    <t>Carmel</t>
  </si>
  <si>
    <t>McCreary</t>
  </si>
  <si>
    <t>Rochester Concrete</t>
  </si>
  <si>
    <t>Mark's Concrete</t>
  </si>
  <si>
    <t>Shelby</t>
  </si>
  <si>
    <t>Century</t>
  </si>
  <si>
    <t>Rochester Rotaional</t>
  </si>
  <si>
    <t xml:space="preserve"> Molding</t>
  </si>
  <si>
    <t>AK Industry</t>
  </si>
  <si>
    <t>Hartford Concrete</t>
  </si>
  <si>
    <t>Dimensions</t>
  </si>
  <si>
    <t>96 X 60</t>
  </si>
  <si>
    <t>108 X 60</t>
  </si>
  <si>
    <t>90 X 50</t>
  </si>
  <si>
    <t>93 X 55</t>
  </si>
  <si>
    <t>102 X 60</t>
  </si>
  <si>
    <t>92 X 55</t>
  </si>
  <si>
    <t>96 X 52</t>
  </si>
  <si>
    <t>91 X 62</t>
  </si>
  <si>
    <t>119 X 50</t>
  </si>
  <si>
    <t>89 X 50</t>
  </si>
  <si>
    <t>126 X 60</t>
  </si>
  <si>
    <t>ROUND</t>
  </si>
  <si>
    <t>1' sand border</t>
  </si>
  <si>
    <t>Lines 1.5' on center</t>
  </si>
  <si>
    <t>at least 2 lines of Enviro-Septic pipe</t>
  </si>
  <si>
    <t>Serial distribution</t>
  </si>
  <si>
    <t>Dbox required?</t>
  </si>
  <si>
    <t>On high side?</t>
  </si>
  <si>
    <t>INDOT Spec 23 sand</t>
  </si>
  <si>
    <t>System vented</t>
  </si>
  <si>
    <t>Odon Vault</t>
  </si>
  <si>
    <t>OVAL</t>
  </si>
  <si>
    <t xml:space="preserve">Number of </t>
  </si>
  <si>
    <t>Pipe size</t>
  </si>
  <si>
    <t>elbow</t>
  </si>
  <si>
    <t>elbows</t>
  </si>
  <si>
    <t>total</t>
  </si>
  <si>
    <r>
      <t>90</t>
    </r>
    <r>
      <rPr>
        <vertAlign val="superscript"/>
        <sz val="11"/>
        <rFont val="Calibri"/>
        <family val="2"/>
      </rPr>
      <t>o</t>
    </r>
  </si>
  <si>
    <r>
      <t>45</t>
    </r>
    <r>
      <rPr>
        <vertAlign val="superscript"/>
        <sz val="11"/>
        <rFont val="Calibri"/>
        <family val="2"/>
      </rPr>
      <t>o</t>
    </r>
  </si>
  <si>
    <t>Hudson</t>
  </si>
  <si>
    <r>
      <t xml:space="preserve">max depth for  </t>
    </r>
    <r>
      <rPr>
        <sz val="11"/>
        <rFont val="Symbol"/>
        <family val="1"/>
        <charset val="2"/>
      </rPr>
      <t>³</t>
    </r>
    <r>
      <rPr>
        <sz val="11"/>
        <rFont val="Calibri"/>
        <family val="2"/>
      </rPr>
      <t xml:space="preserve"> </t>
    </r>
    <r>
      <rPr>
        <sz val="8"/>
        <rFont val="Arial"/>
        <family val="2"/>
      </rPr>
      <t>450 gpd per bed</t>
    </r>
  </si>
  <si>
    <t>max depth for &lt; 450 gpd per bed</t>
  </si>
  <si>
    <t>Depth of Bed 4"-36"</t>
  </si>
  <si>
    <t>(at least 36" below the adjacent trench or 2" into compact till.)</t>
  </si>
  <si>
    <t xml:space="preserve">Outlet filter </t>
  </si>
  <si>
    <t>Type</t>
  </si>
  <si>
    <t>Recorded affidavit</t>
  </si>
  <si>
    <t xml:space="preserve">SSD depth at least 32" </t>
  </si>
  <si>
    <t>Dispersal area w/o SSD on 1/2% or less</t>
  </si>
  <si>
    <t>Dispersal area w/o SSD greater than 1/2%</t>
  </si>
  <si>
    <t xml:space="preserve">Tank Sizes </t>
  </si>
  <si>
    <t>Comments</t>
  </si>
  <si>
    <t>Outlet filter</t>
  </si>
  <si>
    <t>Tank Sizes</t>
  </si>
  <si>
    <t>(at leat 36" below infiltrative surface or 2" into compact till.)</t>
  </si>
  <si>
    <t>McCreary Presby Tank</t>
  </si>
  <si>
    <t>39 X 60</t>
  </si>
  <si>
    <t>1000 g septic 500 g dose</t>
  </si>
  <si>
    <t>1400 g septic 662 g dose</t>
  </si>
  <si>
    <t>Subdivision/Minor Plat/Meets &amp; Bounds checked</t>
  </si>
  <si>
    <t>Total Square Footage</t>
  </si>
  <si>
    <t>Chambers 25% reduction</t>
  </si>
  <si>
    <t>Existing Permit number</t>
  </si>
  <si>
    <t>Drain installed?</t>
  </si>
  <si>
    <t xml:space="preserve">Existing system approval date    </t>
  </si>
  <si>
    <t>Complaint number</t>
  </si>
  <si>
    <t>Serivce agreement signed</t>
  </si>
  <si>
    <t xml:space="preserve">Covenant &amp; release of septic system </t>
  </si>
  <si>
    <t>(deed restriction)</t>
  </si>
  <si>
    <t>Is seperation distance appropiate?</t>
  </si>
  <si>
    <t>gravity 30 inches</t>
  </si>
  <si>
    <t>dose 24 inches</t>
  </si>
  <si>
    <t>Is a perimeter drain required?</t>
  </si>
  <si>
    <t>Number of bedrooms in house match septic design?</t>
  </si>
  <si>
    <t>ATU for Existing Systems</t>
  </si>
  <si>
    <t>Holman</t>
  </si>
  <si>
    <t>98 X 48</t>
  </si>
  <si>
    <t>110 X 54</t>
  </si>
  <si>
    <t>SSD depth</t>
  </si>
  <si>
    <t>Dbox on high side 5' from trench with equal Distribution</t>
  </si>
  <si>
    <t>Grinder Pump?</t>
  </si>
  <si>
    <t xml:space="preserve">SEPTIC APPLICATION STATUS of PERMIT </t>
  </si>
  <si>
    <t>Site Address:</t>
  </si>
  <si>
    <t>Reviewer:</t>
  </si>
  <si>
    <t>This Application:</t>
  </si>
  <si>
    <t>Has Been Shot in the field</t>
  </si>
  <si>
    <t>Has NOT been approved</t>
  </si>
  <si>
    <t>Needs to be shot in the field</t>
  </si>
  <si>
    <t>Square footage from Table B</t>
  </si>
  <si>
    <t>Number of beds required</t>
  </si>
  <si>
    <t>Proposed pipe row length</t>
  </si>
  <si>
    <t>Minimum pipe length required</t>
  </si>
  <si>
    <t>Rows of pipe required</t>
  </si>
  <si>
    <t xml:space="preserve"> </t>
  </si>
  <si>
    <t>Observation port shown</t>
  </si>
  <si>
    <t>12" of sand below lines for above ground system</t>
  </si>
  <si>
    <t>6" of sand below lines for an in ground system</t>
  </si>
  <si>
    <t>Cover over septic tank 2 feet or less?</t>
  </si>
  <si>
    <t>Proposed square footage</t>
  </si>
  <si>
    <t>System bed width required</t>
  </si>
  <si>
    <t>System bed length required</t>
  </si>
  <si>
    <t>proposed</t>
  </si>
  <si>
    <t>Square footage from Table 4</t>
  </si>
  <si>
    <t>Bed length from Table 3</t>
  </si>
  <si>
    <t>Bed width from Table 3</t>
  </si>
  <si>
    <t>maximum 100'</t>
  </si>
  <si>
    <t>pipe comes in 5' or 10' sections</t>
  </si>
  <si>
    <t xml:space="preserve">Rows of pipe </t>
  </si>
  <si>
    <t>System bed width proposed</t>
  </si>
  <si>
    <t>System bed length proposed</t>
  </si>
  <si>
    <t>at least 2 lines</t>
  </si>
  <si>
    <t>Lines 12" apart or 2' on center</t>
  </si>
  <si>
    <t>System vented (required for 18" of cover or more)</t>
  </si>
  <si>
    <t>system should dose 3 times per day</t>
  </si>
  <si>
    <t>(36" below infiltrative surface for an inground system, 32" below</t>
  </si>
  <si>
    <t>infiltrative surface for an above ground system or 2" into compact till)</t>
  </si>
  <si>
    <t>Is the property in the regional sewer district?</t>
  </si>
  <si>
    <t>Trenches 10"-36" &amp; &lt;= 100 feet w/end caps</t>
  </si>
  <si>
    <t>SSD need to be socked?</t>
  </si>
  <si>
    <t>Is the property in WCCD District?</t>
  </si>
  <si>
    <t>105 X 50</t>
  </si>
  <si>
    <t>Rensselaer</t>
  </si>
  <si>
    <t>75 X 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</si>
</sst>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3" x14ac:knownFonts="1"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22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sz val="8"/>
      <color indexed="8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color indexed="81"/>
      <name val="Tahoma"/>
      <family val="2"/>
    </font>
    <font>
      <i/>
      <sz val="10"/>
      <name val="Arial"/>
      <family val="2"/>
    </font>
    <font>
      <sz val="10"/>
      <color indexed="81"/>
      <name val="Tahoma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name val="Symbol"/>
      <family val="1"/>
      <charset val="2"/>
    </font>
    <font>
      <u/>
      <sz val="10"/>
      <name val="Arial"/>
      <family val="2"/>
    </font>
    <font>
      <sz val="14"/>
      <name val="Times New Roman"/>
      <family val="1"/>
    </font>
    <font>
      <sz val="10"/>
      <color rgb="FFFF0000"/>
      <name val="Arial"/>
      <family val="2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/>
    <xf numFmtId="0" fontId="0" fillId="0" borderId="0" xfId="0" applyFill="1"/>
    <xf numFmtId="0" fontId="6" fillId="0" borderId="0" xfId="0" applyFont="1"/>
    <xf numFmtId="0" fontId="8" fillId="0" borderId="0" xfId="0" applyFont="1"/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0" fillId="0" borderId="0" xfId="0" applyFont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shrinkToFit="1"/>
    </xf>
    <xf numFmtId="0" fontId="0" fillId="3" borderId="2" xfId="0" applyFill="1" applyBorder="1"/>
    <xf numFmtId="0" fontId="0" fillId="0" borderId="1" xfId="0" applyBorder="1"/>
    <xf numFmtId="0" fontId="0" fillId="0" borderId="2" xfId="0" applyBorder="1"/>
    <xf numFmtId="0" fontId="7" fillId="0" borderId="0" xfId="0" applyFont="1" applyBorder="1"/>
    <xf numFmtId="0" fontId="12" fillId="0" borderId="0" xfId="0" applyFont="1"/>
    <xf numFmtId="0" fontId="12" fillId="0" borderId="1" xfId="0" applyFont="1" applyBorder="1"/>
    <xf numFmtId="0" fontId="5" fillId="0" borderId="0" xfId="0" applyFont="1" applyBorder="1" applyAlignment="1">
      <alignment horizontal="center"/>
    </xf>
    <xf numFmtId="0" fontId="0" fillId="0" borderId="3" xfId="0" applyBorder="1" applyAlignment="1">
      <alignment shrinkToFit="1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4" xfId="0" applyBorder="1"/>
    <xf numFmtId="0" fontId="12" fillId="0" borderId="0" xfId="0" applyFont="1" applyBorder="1" applyAlignment="1">
      <alignment horizontal="center"/>
    </xf>
    <xf numFmtId="0" fontId="0" fillId="0" borderId="1" xfId="0" applyBorder="1" applyAlignment="1"/>
    <xf numFmtId="0" fontId="4" fillId="0" borderId="1" xfId="0" applyFont="1" applyBorder="1" applyAlignment="1">
      <alignment shrinkToFit="1"/>
    </xf>
    <xf numFmtId="0" fontId="4" fillId="0" borderId="1" xfId="0" applyFont="1" applyBorder="1"/>
    <xf numFmtId="0" fontId="0" fillId="0" borderId="3" xfId="0" applyBorder="1"/>
    <xf numFmtId="0" fontId="3" fillId="3" borderId="1" xfId="0" applyFont="1" applyFill="1" applyBorder="1"/>
    <xf numFmtId="0" fontId="0" fillId="3" borderId="1" xfId="0" applyFill="1" applyBorder="1" applyAlignment="1">
      <alignment shrinkToFit="1"/>
    </xf>
    <xf numFmtId="0" fontId="3" fillId="3" borderId="5" xfId="0" applyFont="1" applyFill="1" applyBorder="1"/>
    <xf numFmtId="0" fontId="0" fillId="3" borderId="5" xfId="0" applyFill="1" applyBorder="1" applyAlignment="1">
      <alignment shrinkToFit="1"/>
    </xf>
    <xf numFmtId="0" fontId="0" fillId="0" borderId="6" xfId="0" applyBorder="1"/>
    <xf numFmtId="0" fontId="0" fillId="3" borderId="1" xfId="0" applyFill="1" applyBorder="1" applyAlignment="1"/>
    <xf numFmtId="0" fontId="0" fillId="0" borderId="1" xfId="0" applyFill="1" applyBorder="1" applyAlignment="1"/>
    <xf numFmtId="0" fontId="0" fillId="0" borderId="1" xfId="0" applyFill="1" applyBorder="1"/>
    <xf numFmtId="0" fontId="0" fillId="0" borderId="0" xfId="0" applyBorder="1" applyAlignment="1">
      <alignment shrinkToFit="1"/>
    </xf>
    <xf numFmtId="0" fontId="13" fillId="0" borderId="0" xfId="0" applyFont="1"/>
    <xf numFmtId="0" fontId="10" fillId="3" borderId="1" xfId="0" applyFont="1" applyFill="1" applyBorder="1"/>
    <xf numFmtId="0" fontId="4" fillId="0" borderId="0" xfId="0" applyFont="1"/>
    <xf numFmtId="0" fontId="3" fillId="0" borderId="0" xfId="0" applyFont="1"/>
    <xf numFmtId="0" fontId="14" fillId="0" borderId="0" xfId="0" applyFont="1"/>
    <xf numFmtId="0" fontId="15" fillId="0" borderId="0" xfId="0" applyFont="1"/>
    <xf numFmtId="0" fontId="4" fillId="2" borderId="2" xfId="0" applyFont="1" applyFill="1" applyBorder="1"/>
    <xf numFmtId="0" fontId="0" fillId="0" borderId="5" xfId="0" applyBorder="1"/>
    <xf numFmtId="0" fontId="0" fillId="3" borderId="3" xfId="0" applyFill="1" applyBorder="1"/>
    <xf numFmtId="0" fontId="0" fillId="2" borderId="2" xfId="0" applyFill="1" applyBorder="1"/>
    <xf numFmtId="0" fontId="0" fillId="2" borderId="7" xfId="0" applyFill="1" applyBorder="1"/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4" fillId="0" borderId="12" xfId="0" applyFont="1" applyBorder="1"/>
    <xf numFmtId="0" fontId="7" fillId="0" borderId="7" xfId="0" applyFont="1" applyBorder="1"/>
    <xf numFmtId="0" fontId="7" fillId="0" borderId="9" xfId="0" applyFont="1" applyBorder="1"/>
    <xf numFmtId="0" fontId="0" fillId="0" borderId="8" xfId="0" applyBorder="1"/>
    <xf numFmtId="0" fontId="0" fillId="0" borderId="14" xfId="0" applyBorder="1"/>
    <xf numFmtId="0" fontId="4" fillId="0" borderId="8" xfId="0" applyFont="1" applyBorder="1"/>
    <xf numFmtId="0" fontId="4" fillId="0" borderId="3" xfId="0" applyFont="1" applyBorder="1"/>
    <xf numFmtId="0" fontId="4" fillId="0" borderId="14" xfId="0" applyFont="1" applyBorder="1"/>
    <xf numFmtId="0" fontId="0" fillId="0" borderId="7" xfId="0" applyBorder="1"/>
    <xf numFmtId="0" fontId="4" fillId="3" borderId="8" xfId="0" applyFont="1" applyFill="1" applyBorder="1"/>
    <xf numFmtId="0" fontId="16" fillId="0" borderId="0" xfId="0" applyFont="1"/>
    <xf numFmtId="0" fontId="12" fillId="0" borderId="0" xfId="0" applyFont="1" applyAlignment="1"/>
    <xf numFmtId="0" fontId="4" fillId="0" borderId="15" xfId="0" applyFont="1" applyBorder="1"/>
    <xf numFmtId="0" fontId="12" fillId="0" borderId="15" xfId="0" applyFont="1" applyBorder="1"/>
    <xf numFmtId="0" fontId="12" fillId="0" borderId="0" xfId="0" applyFont="1" applyBorder="1"/>
    <xf numFmtId="0" fontId="12" fillId="0" borderId="0" xfId="0" applyFont="1" applyFill="1" applyBorder="1"/>
    <xf numFmtId="0" fontId="12" fillId="3" borderId="6" xfId="0" applyFont="1" applyFill="1" applyBorder="1"/>
    <xf numFmtId="0" fontId="0" fillId="3" borderId="7" xfId="0" applyFill="1" applyBorder="1"/>
    <xf numFmtId="0" fontId="4" fillId="3" borderId="3" xfId="0" applyFont="1" applyFill="1" applyBorder="1"/>
    <xf numFmtId="0" fontId="4" fillId="3" borderId="6" xfId="0" applyFont="1" applyFill="1" applyBorder="1"/>
    <xf numFmtId="0" fontId="12" fillId="3" borderId="12" xfId="0" applyFont="1" applyFill="1" applyBorder="1"/>
    <xf numFmtId="0" fontId="17" fillId="0" borderId="0" xfId="0" applyFont="1" applyFill="1" applyBorder="1"/>
    <xf numFmtId="0" fontId="16" fillId="0" borderId="0" xfId="0" applyFont="1" applyFill="1" applyBorder="1"/>
    <xf numFmtId="0" fontId="12" fillId="0" borderId="3" xfId="0" applyFont="1" applyFill="1" applyBorder="1"/>
    <xf numFmtId="0" fontId="12" fillId="0" borderId="6" xfId="0" applyFont="1" applyBorder="1"/>
    <xf numFmtId="0" fontId="12" fillId="0" borderId="0" xfId="0" applyFont="1" applyAlignment="1">
      <alignment shrinkToFit="1"/>
    </xf>
    <xf numFmtId="0" fontId="4" fillId="0" borderId="0" xfId="0" applyFont="1" applyAlignment="1"/>
    <xf numFmtId="0" fontId="11" fillId="3" borderId="3" xfId="0" applyFont="1" applyFill="1" applyBorder="1"/>
    <xf numFmtId="0" fontId="0" fillId="3" borderId="6" xfId="0" applyFill="1" applyBorder="1"/>
    <xf numFmtId="0" fontId="0" fillId="2" borderId="6" xfId="0" applyFill="1" applyBorder="1"/>
    <xf numFmtId="0" fontId="0" fillId="3" borderId="5" xfId="0" applyFill="1" applyBorder="1"/>
    <xf numFmtId="0" fontId="0" fillId="2" borderId="10" xfId="0" applyFill="1" applyBorder="1"/>
    <xf numFmtId="0" fontId="0" fillId="3" borderId="12" xfId="0" applyFill="1" applyBorder="1"/>
    <xf numFmtId="2" fontId="12" fillId="3" borderId="1" xfId="0" applyNumberFormat="1" applyFont="1" applyFill="1" applyBorder="1"/>
    <xf numFmtId="164" fontId="12" fillId="3" borderId="1" xfId="0" applyNumberFormat="1" applyFont="1" applyFill="1" applyBorder="1"/>
    <xf numFmtId="14" fontId="10" fillId="0" borderId="0" xfId="0" applyNumberFormat="1" applyFont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2" fillId="2" borderId="6" xfId="0" applyFont="1" applyFill="1" applyBorder="1"/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2" fontId="12" fillId="2" borderId="1" xfId="0" applyNumberFormat="1" applyFont="1" applyFill="1" applyBorder="1" applyProtection="1">
      <protection locked="0"/>
    </xf>
    <xf numFmtId="2" fontId="12" fillId="2" borderId="16" xfId="0" applyNumberFormat="1" applyFont="1" applyFill="1" applyBorder="1" applyProtection="1">
      <protection locked="0"/>
    </xf>
    <xf numFmtId="0" fontId="0" fillId="3" borderId="14" xfId="0" applyFill="1" applyBorder="1" applyAlignment="1"/>
    <xf numFmtId="0" fontId="0" fillId="3" borderId="11" xfId="0" applyFill="1" applyBorder="1"/>
    <xf numFmtId="0" fontId="0" fillId="3" borderId="14" xfId="0" applyFill="1" applyBorder="1"/>
    <xf numFmtId="0" fontId="0" fillId="0" borderId="0" xfId="0" applyFill="1" applyBorder="1"/>
    <xf numFmtId="0" fontId="0" fillId="3" borderId="17" xfId="0" applyFill="1" applyBorder="1"/>
    <xf numFmtId="0" fontId="0" fillId="0" borderId="11" xfId="0" applyBorder="1" applyAlignment="1"/>
    <xf numFmtId="0" fontId="12" fillId="0" borderId="0" xfId="0" applyFont="1" applyAlignment="1">
      <alignment horizontal="center" shrinkToFit="1"/>
    </xf>
    <xf numFmtId="0" fontId="4" fillId="0" borderId="5" xfId="0" applyFont="1" applyBorder="1" applyAlignment="1">
      <alignment shrinkToFit="1"/>
    </xf>
    <xf numFmtId="0" fontId="0" fillId="0" borderId="0" xfId="0" applyBorder="1" applyAlignment="1"/>
    <xf numFmtId="0" fontId="3" fillId="3" borderId="1" xfId="0" applyFont="1" applyFill="1" applyBorder="1" applyAlignment="1" applyProtection="1">
      <alignment horizontal="center"/>
      <protection locked="0"/>
    </xf>
    <xf numFmtId="0" fontId="18" fillId="3" borderId="1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4" xfId="0" applyFont="1" applyBorder="1"/>
    <xf numFmtId="0" fontId="0" fillId="0" borderId="4" xfId="0" applyBorder="1" applyAlignment="1"/>
    <xf numFmtId="0" fontId="0" fillId="0" borderId="4" xfId="0" applyBorder="1" applyProtection="1">
      <protection locked="0"/>
    </xf>
    <xf numFmtId="0" fontId="3" fillId="0" borderId="4" xfId="0" applyFont="1" applyBorder="1" applyAlignment="1"/>
    <xf numFmtId="14" fontId="0" fillId="0" borderId="4" xfId="0" applyNumberFormat="1" applyBorder="1" applyAlignment="1" applyProtection="1">
      <protection locked="0"/>
    </xf>
    <xf numFmtId="0" fontId="0" fillId="3" borderId="6" xfId="0" applyFill="1" applyBorder="1" applyAlignment="1"/>
    <xf numFmtId="164" fontId="18" fillId="2" borderId="1" xfId="0" applyNumberFormat="1" applyFont="1" applyFill="1" applyBorder="1" applyProtection="1">
      <protection locked="0"/>
    </xf>
    <xf numFmtId="0" fontId="4" fillId="2" borderId="1" xfId="0" applyFont="1" applyFill="1" applyBorder="1"/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 applyProtection="1">
      <alignment horizontal="left"/>
      <protection locked="0"/>
    </xf>
    <xf numFmtId="14" fontId="11" fillId="0" borderId="4" xfId="0" applyNumberFormat="1" applyFont="1" applyBorder="1" applyAlignment="1" applyProtection="1">
      <alignment horizontal="center"/>
      <protection locked="0"/>
    </xf>
    <xf numFmtId="14" fontId="0" fillId="0" borderId="0" xfId="0" applyNumberFormat="1" applyBorder="1" applyProtection="1">
      <protection locked="0"/>
    </xf>
    <xf numFmtId="164" fontId="0" fillId="0" borderId="0" xfId="0" applyNumberFormat="1"/>
    <xf numFmtId="0" fontId="0" fillId="3" borderId="10" xfId="0" applyFill="1" applyBorder="1"/>
    <xf numFmtId="0" fontId="0" fillId="3" borderId="0" xfId="0" applyFill="1" applyBorder="1"/>
    <xf numFmtId="0" fontId="0" fillId="0" borderId="14" xfId="0" applyFill="1" applyBorder="1"/>
    <xf numFmtId="0" fontId="0" fillId="0" borderId="0" xfId="0" applyFill="1" applyBorder="1" applyAlignment="1"/>
    <xf numFmtId="0" fontId="0" fillId="3" borderId="15" xfId="0" applyFill="1" applyBorder="1"/>
    <xf numFmtId="164" fontId="18" fillId="2" borderId="2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0" fillId="3" borderId="3" xfId="0" applyNumberFormat="1" applyFill="1" applyBorder="1"/>
    <xf numFmtId="0" fontId="0" fillId="2" borderId="14" xfId="0" applyFill="1" applyBorder="1" applyProtection="1">
      <protection locked="0"/>
    </xf>
    <xf numFmtId="14" fontId="0" fillId="0" borderId="4" xfId="0" applyNumberFormat="1" applyBorder="1"/>
    <xf numFmtId="0" fontId="18" fillId="0" borderId="0" xfId="0" applyFont="1"/>
    <xf numFmtId="0" fontId="14" fillId="0" borderId="0" xfId="0" applyFont="1" applyAlignment="1">
      <alignment horizontal="right"/>
    </xf>
    <xf numFmtId="0" fontId="14" fillId="3" borderId="3" xfId="0" applyFont="1" applyFill="1" applyBorder="1" applyAlignment="1">
      <alignment horizontal="right"/>
    </xf>
    <xf numFmtId="0" fontId="14" fillId="3" borderId="6" xfId="0" applyFont="1" applyFill="1" applyBorder="1"/>
    <xf numFmtId="0" fontId="14" fillId="3" borderId="3" xfId="0" applyFont="1" applyFill="1" applyBorder="1"/>
    <xf numFmtId="0" fontId="0" fillId="2" borderId="5" xfId="0" applyFill="1" applyBorder="1"/>
    <xf numFmtId="164" fontId="0" fillId="3" borderId="8" xfId="0" applyNumberFormat="1" applyFill="1" applyBorder="1"/>
    <xf numFmtId="1" fontId="0" fillId="0" borderId="15" xfId="0" applyNumberFormat="1" applyFill="1" applyBorder="1"/>
    <xf numFmtId="164" fontId="0" fillId="3" borderId="1" xfId="0" applyNumberFormat="1" applyFill="1" applyBorder="1"/>
    <xf numFmtId="0" fontId="0" fillId="3" borderId="18" xfId="0" applyFill="1" applyBorder="1"/>
    <xf numFmtId="165" fontId="0" fillId="3" borderId="1" xfId="0" applyNumberFormat="1" applyFill="1" applyBorder="1"/>
    <xf numFmtId="0" fontId="4" fillId="3" borderId="1" xfId="0" applyFont="1" applyFill="1" applyBorder="1"/>
    <xf numFmtId="0" fontId="18" fillId="0" borderId="0" xfId="0" applyFont="1" applyAlignment="1">
      <alignment horizontal="center"/>
    </xf>
    <xf numFmtId="0" fontId="8" fillId="0" borderId="4" xfId="0" applyFont="1" applyBorder="1"/>
    <xf numFmtId="0" fontId="9" fillId="0" borderId="4" xfId="0" applyFont="1" applyBorder="1"/>
    <xf numFmtId="0" fontId="0" fillId="0" borderId="1" xfId="0" applyBorder="1" applyAlignment="1">
      <alignment horizontal="right"/>
    </xf>
    <xf numFmtId="0" fontId="12" fillId="0" borderId="0" xfId="0" applyFont="1" applyAlignment="1">
      <alignment horizontal="right"/>
    </xf>
    <xf numFmtId="0" fontId="20" fillId="0" borderId="0" xfId="0" applyFont="1"/>
    <xf numFmtId="1" fontId="0" fillId="3" borderId="14" xfId="0" quotePrefix="1" applyNumberFormat="1" applyFill="1" applyBorder="1"/>
    <xf numFmtId="0" fontId="3" fillId="3" borderId="12" xfId="0" applyFont="1" applyFill="1" applyBorder="1"/>
    <xf numFmtId="2" fontId="3" fillId="3" borderId="1" xfId="0" applyNumberFormat="1" applyFont="1" applyFill="1" applyBorder="1"/>
    <xf numFmtId="0" fontId="3" fillId="0" borderId="3" xfId="0" applyFont="1" applyBorder="1"/>
    <xf numFmtId="0" fontId="14" fillId="0" borderId="0" xfId="0" applyFont="1" applyBorder="1"/>
    <xf numFmtId="0" fontId="3" fillId="0" borderId="0" xfId="0" applyFont="1" applyBorder="1"/>
    <xf numFmtId="0" fontId="0" fillId="0" borderId="0" xfId="0" applyBorder="1" applyAlignment="1" applyProtection="1">
      <protection locked="0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2" borderId="15" xfId="0" applyFont="1" applyFill="1" applyBorder="1"/>
    <xf numFmtId="0" fontId="4" fillId="2" borderId="13" xfId="0" applyFont="1" applyFill="1" applyBorder="1"/>
    <xf numFmtId="0" fontId="4" fillId="2" borderId="8" xfId="0" applyFont="1" applyFill="1" applyBorder="1"/>
    <xf numFmtId="0" fontId="4" fillId="2" borderId="12" xfId="0" applyFont="1" applyFill="1" applyBorder="1"/>
    <xf numFmtId="0" fontId="4" fillId="2" borderId="3" xfId="0" applyFont="1" applyFill="1" applyBorder="1"/>
    <xf numFmtId="0" fontId="4" fillId="2" borderId="6" xfId="0" applyFont="1" applyFill="1" applyBorder="1"/>
    <xf numFmtId="0" fontId="12" fillId="2" borderId="10" xfId="0" applyFont="1" applyFill="1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11" fillId="3" borderId="1" xfId="0" applyFont="1" applyFill="1" applyBorder="1"/>
    <xf numFmtId="2" fontId="4" fillId="0" borderId="1" xfId="0" applyNumberFormat="1" applyFont="1" applyBorder="1"/>
    <xf numFmtId="2" fontId="0" fillId="0" borderId="1" xfId="0" applyNumberFormat="1" applyBorder="1"/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11" fillId="0" borderId="1" xfId="0" applyFont="1" applyBorder="1"/>
    <xf numFmtId="1" fontId="3" fillId="3" borderId="1" xfId="0" applyNumberFormat="1" applyFont="1" applyFill="1" applyBorder="1"/>
    <xf numFmtId="0" fontId="12" fillId="3" borderId="1" xfId="0" applyFont="1" applyFill="1" applyBorder="1"/>
    <xf numFmtId="2" fontId="0" fillId="3" borderId="3" xfId="0" applyNumberForma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1" fontId="0" fillId="0" borderId="4" xfId="0" applyNumberFormat="1" applyBorder="1"/>
    <xf numFmtId="0" fontId="11" fillId="0" borderId="0" xfId="0" applyFont="1" applyBorder="1"/>
    <xf numFmtId="0" fontId="22" fillId="0" borderId="0" xfId="0" applyFont="1" applyBorder="1"/>
    <xf numFmtId="0" fontId="9" fillId="0" borderId="0" xfId="0" applyFont="1" applyBorder="1"/>
    <xf numFmtId="0" fontId="0" fillId="0" borderId="1" xfId="0" applyFill="1" applyBorder="1" applyAlignment="1">
      <alignment horizontal="center"/>
    </xf>
    <xf numFmtId="0" fontId="0" fillId="0" borderId="0" xfId="0" applyFont="1" applyBorder="1"/>
    <xf numFmtId="0" fontId="0" fillId="0" borderId="1" xfId="0" applyFont="1" applyBorder="1"/>
    <xf numFmtId="1" fontId="0" fillId="0" borderId="0" xfId="0" applyNumberFormat="1"/>
    <xf numFmtId="0" fontId="26" fillId="0" borderId="1" xfId="0" applyFont="1" applyBorder="1" applyAlignment="1">
      <alignment horizontal="center"/>
    </xf>
    <xf numFmtId="0" fontId="31" fillId="0" borderId="0" xfId="0" applyFont="1" applyBorder="1"/>
    <xf numFmtId="0" fontId="0" fillId="0" borderId="0" xfId="0" applyFont="1"/>
    <xf numFmtId="0" fontId="29" fillId="0" borderId="0" xfId="0" applyFont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0" fillId="0" borderId="0" xfId="0" applyFont="1"/>
    <xf numFmtId="0" fontId="30" fillId="0" borderId="0" xfId="0" applyFont="1" applyAlignment="1">
      <alignment horizontal="right"/>
    </xf>
    <xf numFmtId="0" fontId="30" fillId="0" borderId="11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11" xfId="0" applyFont="1" applyBorder="1"/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14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1" fillId="0" borderId="0" xfId="0" applyFont="1" applyAlignment="1">
      <alignment horizontal="right"/>
    </xf>
    <xf numFmtId="0" fontId="0" fillId="0" borderId="0" xfId="0" applyFill="1" applyBorder="1" applyAlignment="1">
      <alignment horizontal="right"/>
    </xf>
    <xf numFmtId="1" fontId="3" fillId="0" borderId="0" xfId="0" applyNumberFormat="1" applyFont="1" applyFill="1" applyBorder="1"/>
    <xf numFmtId="0" fontId="24" fillId="0" borderId="0" xfId="0" applyFont="1" applyFill="1" applyBorder="1"/>
    <xf numFmtId="0" fontId="22" fillId="0" borderId="0" xfId="0" applyFont="1" applyFill="1" applyBorder="1"/>
    <xf numFmtId="14" fontId="1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8" fillId="0" borderId="3" xfId="0" applyFont="1" applyFill="1" applyBorder="1" applyAlignment="1"/>
    <xf numFmtId="0" fontId="18" fillId="0" borderId="6" xfId="0" applyFont="1" applyFill="1" applyBorder="1" applyAlignment="1"/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/>
    <xf numFmtId="0" fontId="0" fillId="2" borderId="5" xfId="0" applyFill="1" applyBorder="1" applyProtection="1">
      <protection locked="0"/>
    </xf>
    <xf numFmtId="1" fontId="0" fillId="3" borderId="1" xfId="0" quotePrefix="1" applyNumberFormat="1" applyFill="1" applyBorder="1"/>
    <xf numFmtId="0" fontId="30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center"/>
    </xf>
    <xf numFmtId="0" fontId="32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4" xfId="0" applyBorder="1" applyAlignment="1">
      <alignment shrinkToFit="1"/>
    </xf>
    <xf numFmtId="0" fontId="0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12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shrinkToFit="1"/>
    </xf>
    <xf numFmtId="0" fontId="0" fillId="3" borderId="1" xfId="0" applyFill="1" applyBorder="1" applyAlignment="1">
      <alignment horizontal="center"/>
    </xf>
    <xf numFmtId="0" fontId="0" fillId="0" borderId="7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18" fillId="0" borderId="3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1" fillId="0" borderId="3" xfId="0" applyFont="1" applyBorder="1" applyAlignment="1">
      <alignment horizontal="center" shrinkToFit="1"/>
    </xf>
    <xf numFmtId="0" fontId="11" fillId="0" borderId="6" xfId="0" applyFont="1" applyBorder="1" applyAlignment="1">
      <alignment horizontal="center" shrinkToFit="1"/>
    </xf>
    <xf numFmtId="0" fontId="18" fillId="0" borderId="3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4" fillId="0" borderId="0" xfId="0" applyFont="1" applyAlignment="1">
      <alignment shrinkToFit="1"/>
    </xf>
    <xf numFmtId="0" fontId="12" fillId="0" borderId="8" xfId="0" applyFont="1" applyBorder="1" applyAlignment="1">
      <alignment shrinkToFit="1"/>
    </xf>
    <xf numFmtId="0" fontId="12" fillId="0" borderId="11" xfId="0" applyFont="1" applyBorder="1" applyAlignment="1">
      <alignment shrinkToFit="1"/>
    </xf>
    <xf numFmtId="0" fontId="0" fillId="0" borderId="0" xfId="0" applyAlignment="1"/>
    <xf numFmtId="0" fontId="17" fillId="0" borderId="0" xfId="0" applyFont="1" applyAlignment="1">
      <alignment shrinkToFit="1"/>
    </xf>
    <xf numFmtId="0" fontId="16" fillId="0" borderId="0" xfId="0" applyFont="1" applyAlignment="1">
      <alignment shrinkToFit="1"/>
    </xf>
    <xf numFmtId="0" fontId="12" fillId="0" borderId="1" xfId="0" applyFont="1" applyBorder="1" applyAlignment="1">
      <alignment shrinkToFit="1"/>
    </xf>
    <xf numFmtId="0" fontId="12" fillId="0" borderId="3" xfId="0" applyFont="1" applyBorder="1" applyAlignment="1">
      <alignment shrinkToFit="1"/>
    </xf>
    <xf numFmtId="0" fontId="0" fillId="0" borderId="6" xfId="0" applyBorder="1" applyAlignment="1">
      <alignment shrinkToFit="1"/>
    </xf>
    <xf numFmtId="0" fontId="12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0" xfId="0" applyFill="1" applyBorder="1" applyAlignment="1"/>
    <xf numFmtId="0" fontId="12" fillId="0" borderId="0" xfId="0" applyFont="1" applyAlignment="1">
      <alignment shrinkToFit="1"/>
    </xf>
    <xf numFmtId="0" fontId="0" fillId="0" borderId="0" xfId="0" applyBorder="1" applyAlignment="1"/>
    <xf numFmtId="0" fontId="18" fillId="0" borderId="0" xfId="0" applyFont="1" applyAlignment="1">
      <alignment shrinkToFit="1"/>
    </xf>
    <xf numFmtId="0" fontId="3" fillId="0" borderId="0" xfId="0" applyFont="1" applyAlignment="1">
      <alignment horizontal="center" textRotation="180" shrinkToFit="1"/>
    </xf>
    <xf numFmtId="0" fontId="0" fillId="0" borderId="0" xfId="0"/>
    <xf numFmtId="0" fontId="0" fillId="0" borderId="11" xfId="0" applyBorder="1"/>
    <xf numFmtId="0" fontId="0" fillId="0" borderId="0" xfId="0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3" xfId="0" applyBorder="1" applyAlignment="1"/>
    <xf numFmtId="0" fontId="0" fillId="0" borderId="14" xfId="0" applyBorder="1" applyAlignment="1"/>
    <xf numFmtId="0" fontId="0" fillId="0" borderId="6" xfId="0" applyBorder="1" applyAlignment="1"/>
    <xf numFmtId="0" fontId="12" fillId="0" borderId="9" xfId="0" applyFont="1" applyBorder="1" applyAlignment="1"/>
    <xf numFmtId="0" fontId="12" fillId="0" borderId="10" xfId="0" applyFont="1" applyBorder="1" applyAlignment="1"/>
    <xf numFmtId="0" fontId="6" fillId="0" borderId="0" xfId="0" applyFont="1" applyBorder="1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textRotation="180" shrinkToFit="1"/>
    </xf>
    <xf numFmtId="0" fontId="0" fillId="0" borderId="0" xfId="0" applyAlignment="1">
      <alignment horizontal="center" textRotation="180"/>
    </xf>
    <xf numFmtId="0" fontId="0" fillId="0" borderId="11" xfId="0" applyBorder="1" applyAlignment="1">
      <alignment horizontal="center" textRotation="180"/>
    </xf>
    <xf numFmtId="0" fontId="0" fillId="0" borderId="4" xfId="0" applyBorder="1" applyAlignment="1" applyProtection="1">
      <alignment shrinkToFit="1"/>
      <protection locked="0"/>
    </xf>
    <xf numFmtId="0" fontId="12" fillId="0" borderId="0" xfId="0" applyFont="1" applyAlignment="1"/>
    <xf numFmtId="0" fontId="0" fillId="0" borderId="13" xfId="0" applyBorder="1" applyAlignment="1"/>
    <xf numFmtId="0" fontId="12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/>
    <xf numFmtId="0" fontId="0" fillId="3" borderId="3" xfId="0" applyFill="1" applyBorder="1" applyAlignment="1"/>
    <xf numFmtId="0" fontId="12" fillId="0" borderId="0" xfId="0" applyFont="1" applyAlignment="1">
      <alignment horizontal="center" textRotation="180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152400</xdr:colOff>
      <xdr:row>1</xdr:row>
      <xdr:rowOff>68580</xdr:rowOff>
    </xdr:from>
    <xdr:to>
      <xdr:col>17</xdr:col>
      <xdr:colOff>1310640</xdr:colOff>
      <xdr:row>10</xdr:row>
      <xdr:rowOff>98281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40F23EB-3C29-44CA-8AB5-5812E5566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7040" y="297180"/>
          <a:ext cx="5394960" cy="15643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0</xdr:rowOff>
    </xdr:from>
    <xdr:to>
      <xdr:col>16</xdr:col>
      <xdr:colOff>190500</xdr:colOff>
      <xdr:row>9</xdr:row>
      <xdr:rowOff>53340</xdr:rowOff>
    </xdr:to>
    <xdr:pic>
      <xdr:nvPicPr>
        <xdr:cNvPr id="6407" name="Picture 160">
          <a:extLst>
            <a:ext uri="{FF2B5EF4-FFF2-40B4-BE49-F238E27FC236}">
              <a16:creationId xmlns:a16="http://schemas.microsoft.com/office/drawing/2014/main" id="{00000000-0008-0000-0300-00000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96240"/>
          <a:ext cx="455676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38100</xdr:colOff>
      <xdr:row>9</xdr:row>
      <xdr:rowOff>91440</xdr:rowOff>
    </xdr:from>
    <xdr:to>
      <xdr:col>16</xdr:col>
      <xdr:colOff>220980</xdr:colOff>
      <xdr:row>20</xdr:row>
      <xdr:rowOff>83820</xdr:rowOff>
    </xdr:to>
    <xdr:pic>
      <xdr:nvPicPr>
        <xdr:cNvPr id="6408" name="Picture 161">
          <a:extLst>
            <a:ext uri="{FF2B5EF4-FFF2-40B4-BE49-F238E27FC236}">
              <a16:creationId xmlns:a16="http://schemas.microsoft.com/office/drawing/2014/main" id="{00000000-0008-0000-0300-00000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684020"/>
          <a:ext cx="454914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133350</xdr:colOff>
      <xdr:row>26</xdr:row>
      <xdr:rowOff>180975</xdr:rowOff>
    </xdr:from>
    <xdr:to>
      <xdr:col>6</xdr:col>
      <xdr:colOff>114300</xdr:colOff>
      <xdr:row>31</xdr:row>
      <xdr:rowOff>47625</xdr:rowOff>
    </xdr:to>
    <xdr:sp macro="" textlink="">
      <xdr:nvSpPr>
        <xdr:cNvPr id="2056" name="Text Box 8" hidden="1">
          <a:extLst>
            <a:ext uri="{FF2B5EF4-FFF2-40B4-BE49-F238E27FC236}">
              <a16:creationId xmlns:a16="http://schemas.microsoft.com/office/drawing/2014/main" id="{1AC58E6A-8FA6-4834-B80D-B192B6C09E56}"/>
            </a:ext>
          </a:extLst>
        </xdr:cNvPr>
        <xdr:cNvSpPr txBox="1">
          <a:spLocks noChangeArrowheads="1"/>
        </xdr:cNvSpPr>
      </xdr:nvSpPr>
      <xdr:spPr bwMode="auto">
        <a:xfrm>
          <a:off x="2609850" y="4295775"/>
          <a:ext cx="1219200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J40"/>
  <sheetViews>
    <sheetView workbookViewId="0">
      <selection activeCell="G3" sqref="G3:I3"/>
    </sheetView>
  </sheetViews>
  <sheetFormatPr defaultColWidth="8.88671875" defaultRowHeight="18" x14ac:dyDescent="0.35"/>
  <cols>
    <col min="1" max="9" width="8.88671875" style="206"/>
    <col min="10" max="10" width="8.6640625" style="206" customWidth="1"/>
    <col min="11" max="16384" width="8.88671875" style="206"/>
  </cols>
  <sheetData>
    <row r="3" spans="1:10" x14ac:dyDescent="0.35">
      <c r="A3" s="235" t="s">
        <v>313</v>
      </c>
      <c r="B3" s="235"/>
      <c r="C3" s="235"/>
      <c r="D3" s="235"/>
      <c r="E3" s="235"/>
      <c r="F3" s="235"/>
      <c r="G3" s="233"/>
      <c r="H3" s="233"/>
      <c r="I3" s="233"/>
    </row>
    <row r="4" spans="1:10" ht="15" customHeight="1" x14ac:dyDescent="0.35"/>
    <row r="5" spans="1:10" x14ac:dyDescent="0.35">
      <c r="F5" s="207" t="s">
        <v>314</v>
      </c>
      <c r="G5" s="234"/>
      <c r="H5" s="234"/>
      <c r="I5" s="234"/>
    </row>
    <row r="7" spans="1:10" x14ac:dyDescent="0.35">
      <c r="A7" s="209" t="s">
        <v>156</v>
      </c>
      <c r="B7" s="234"/>
      <c r="C7" s="234"/>
      <c r="F7" s="207" t="s">
        <v>315</v>
      </c>
      <c r="G7" s="234"/>
      <c r="H7" s="234"/>
      <c r="I7" s="234"/>
    </row>
    <row r="8" spans="1:10" x14ac:dyDescent="0.35">
      <c r="A8" s="209"/>
    </row>
    <row r="9" spans="1:10" x14ac:dyDescent="0.35">
      <c r="A9" s="209" t="s">
        <v>27</v>
      </c>
      <c r="B9" s="234"/>
      <c r="C9" s="234"/>
    </row>
    <row r="11" spans="1:10" x14ac:dyDescent="0.35">
      <c r="A11" s="206" t="s">
        <v>316</v>
      </c>
      <c r="F11" s="208"/>
      <c r="G11" s="206" t="s">
        <v>317</v>
      </c>
    </row>
    <row r="13" spans="1:10" x14ac:dyDescent="0.35">
      <c r="A13" s="208"/>
      <c r="B13" s="206" t="s">
        <v>318</v>
      </c>
      <c r="F13" s="208"/>
      <c r="G13" s="206" t="s">
        <v>319</v>
      </c>
    </row>
    <row r="15" spans="1:10" x14ac:dyDescent="0.35">
      <c r="A15" s="206" t="s">
        <v>48</v>
      </c>
    </row>
    <row r="16" spans="1:10" ht="18" customHeight="1" x14ac:dyDescent="0.35">
      <c r="A16" s="210"/>
      <c r="B16" s="210"/>
      <c r="C16" s="210"/>
      <c r="D16" s="210"/>
      <c r="E16" s="210"/>
      <c r="F16" s="210"/>
      <c r="G16" s="210"/>
      <c r="H16" s="210"/>
      <c r="I16" s="210"/>
      <c r="J16" s="210"/>
    </row>
    <row r="17" spans="1:10" ht="18" customHeight="1" x14ac:dyDescent="0.35">
      <c r="A17" s="210"/>
      <c r="B17" s="210"/>
      <c r="C17" s="210"/>
      <c r="D17" s="210"/>
      <c r="E17" s="210"/>
      <c r="F17" s="210"/>
      <c r="G17" s="210"/>
      <c r="H17" s="210"/>
      <c r="I17" s="210"/>
      <c r="J17" s="210"/>
    </row>
    <row r="18" spans="1:10" ht="18" customHeight="1" x14ac:dyDescent="0.35">
      <c r="A18" s="210"/>
      <c r="B18" s="210"/>
      <c r="C18" s="210"/>
      <c r="D18" s="210"/>
      <c r="E18" s="210"/>
      <c r="F18" s="210"/>
      <c r="G18" s="210"/>
      <c r="H18" s="210"/>
      <c r="I18" s="210"/>
      <c r="J18" s="210"/>
    </row>
    <row r="19" spans="1:10" ht="18" customHeight="1" x14ac:dyDescent="0.35">
      <c r="A19" s="210"/>
      <c r="B19" s="210"/>
      <c r="C19" s="210"/>
      <c r="D19" s="210"/>
      <c r="E19" s="210"/>
      <c r="F19" s="210"/>
      <c r="G19" s="210"/>
      <c r="H19" s="210"/>
      <c r="I19" s="210"/>
      <c r="J19" s="210"/>
    </row>
    <row r="20" spans="1:10" ht="18" customHeight="1" x14ac:dyDescent="0.35">
      <c r="A20" s="210"/>
      <c r="B20" s="210"/>
      <c r="C20" s="210"/>
      <c r="D20" s="210"/>
      <c r="E20" s="210"/>
      <c r="F20" s="210"/>
      <c r="G20" s="210"/>
      <c r="H20" s="210"/>
      <c r="I20" s="210"/>
      <c r="J20" s="210"/>
    </row>
    <row r="21" spans="1:10" ht="18" customHeight="1" x14ac:dyDescent="0.35">
      <c r="A21" s="210"/>
      <c r="B21" s="210"/>
      <c r="C21" s="210"/>
      <c r="D21" s="210"/>
      <c r="E21" s="210"/>
      <c r="F21" s="210"/>
      <c r="G21" s="210"/>
      <c r="H21" s="210"/>
      <c r="I21" s="210"/>
      <c r="J21" s="210"/>
    </row>
    <row r="22" spans="1:10" ht="18" customHeight="1" x14ac:dyDescent="0.35">
      <c r="A22" s="210"/>
      <c r="B22" s="210"/>
      <c r="C22" s="210"/>
      <c r="D22" s="210"/>
      <c r="E22" s="210"/>
      <c r="F22" s="210"/>
      <c r="G22" s="210"/>
      <c r="H22" s="210"/>
      <c r="I22" s="210"/>
      <c r="J22" s="210"/>
    </row>
    <row r="23" spans="1:10" ht="18" customHeight="1" x14ac:dyDescent="0.35">
      <c r="A23" s="210"/>
      <c r="B23" s="210"/>
      <c r="C23" s="210"/>
      <c r="D23" s="210"/>
      <c r="E23" s="210"/>
      <c r="F23" s="210"/>
      <c r="G23" s="210"/>
      <c r="H23" s="210"/>
      <c r="I23" s="210"/>
      <c r="J23" s="210"/>
    </row>
    <row r="24" spans="1:10" ht="18" customHeight="1" x14ac:dyDescent="0.35">
      <c r="A24" s="210"/>
      <c r="B24" s="210"/>
      <c r="C24" s="210"/>
      <c r="D24" s="210"/>
      <c r="E24" s="210"/>
      <c r="F24" s="210"/>
      <c r="G24" s="210"/>
      <c r="H24" s="210"/>
      <c r="I24" s="210"/>
      <c r="J24" s="210"/>
    </row>
    <row r="25" spans="1:10" ht="18" customHeight="1" x14ac:dyDescent="0.35">
      <c r="A25" s="210"/>
      <c r="B25" s="210"/>
      <c r="C25" s="210"/>
      <c r="D25" s="210"/>
      <c r="E25" s="210"/>
      <c r="F25" s="210"/>
      <c r="G25" s="210"/>
      <c r="H25" s="210"/>
      <c r="I25" s="210"/>
      <c r="J25" s="210"/>
    </row>
    <row r="26" spans="1:10" ht="18" customHeight="1" x14ac:dyDescent="0.35">
      <c r="A26" s="210"/>
      <c r="B26" s="210"/>
      <c r="C26" s="210"/>
      <c r="D26" s="210"/>
      <c r="E26" s="210"/>
      <c r="F26" s="210"/>
      <c r="G26" s="210"/>
      <c r="H26" s="210"/>
      <c r="I26" s="210"/>
      <c r="J26" s="210"/>
    </row>
    <row r="27" spans="1:10" ht="18" customHeight="1" x14ac:dyDescent="0.35">
      <c r="A27" s="210"/>
      <c r="B27" s="210"/>
      <c r="C27" s="210"/>
      <c r="D27" s="210"/>
      <c r="E27" s="210"/>
      <c r="F27" s="210"/>
      <c r="G27" s="210"/>
      <c r="H27" s="210"/>
      <c r="I27" s="210"/>
      <c r="J27" s="210"/>
    </row>
    <row r="28" spans="1:10" ht="18" customHeight="1" x14ac:dyDescent="0.35">
      <c r="A28" s="210"/>
      <c r="B28" s="210"/>
      <c r="C28" s="210"/>
      <c r="D28" s="210"/>
      <c r="E28" s="210"/>
      <c r="F28" s="210"/>
      <c r="G28" s="210"/>
      <c r="H28" s="210"/>
      <c r="I28" s="210"/>
      <c r="J28" s="210"/>
    </row>
    <row r="29" spans="1:10" ht="18" customHeight="1" x14ac:dyDescent="0.35">
      <c r="A29" s="210"/>
      <c r="B29" s="210"/>
      <c r="C29" s="210"/>
      <c r="D29" s="210"/>
      <c r="E29" s="210"/>
      <c r="F29" s="210"/>
      <c r="G29" s="210"/>
      <c r="H29" s="210"/>
      <c r="I29" s="210"/>
      <c r="J29" s="210"/>
    </row>
    <row r="30" spans="1:10" ht="18" customHeight="1" x14ac:dyDescent="0.35">
      <c r="A30" s="210"/>
      <c r="B30" s="210"/>
      <c r="C30" s="210"/>
      <c r="D30" s="210"/>
      <c r="E30" s="210"/>
      <c r="F30" s="210"/>
      <c r="G30" s="210"/>
      <c r="H30" s="210"/>
      <c r="I30" s="210"/>
      <c r="J30" s="210"/>
    </row>
    <row r="31" spans="1:10" ht="18" customHeight="1" x14ac:dyDescent="0.35">
      <c r="A31" s="210"/>
      <c r="B31" s="210"/>
      <c r="C31" s="210"/>
      <c r="D31" s="210"/>
      <c r="E31" s="210"/>
      <c r="F31" s="210"/>
      <c r="G31" s="210"/>
      <c r="H31" s="210"/>
      <c r="I31" s="210"/>
      <c r="J31" s="210"/>
    </row>
    <row r="32" spans="1:10" ht="18" customHeight="1" x14ac:dyDescent="0.35">
      <c r="A32" s="210"/>
      <c r="B32" s="210"/>
      <c r="C32" s="210"/>
      <c r="D32" s="210"/>
      <c r="E32" s="210"/>
      <c r="F32" s="210"/>
      <c r="G32" s="210"/>
      <c r="H32" s="210"/>
      <c r="I32" s="210"/>
      <c r="J32" s="210"/>
    </row>
    <row r="33" spans="1:10" ht="18" customHeight="1" x14ac:dyDescent="0.35">
      <c r="A33" s="210"/>
      <c r="B33" s="210"/>
      <c r="C33" s="210"/>
      <c r="D33" s="210"/>
      <c r="E33" s="210"/>
      <c r="F33" s="210"/>
      <c r="G33" s="210"/>
      <c r="H33" s="210"/>
      <c r="I33" s="210"/>
      <c r="J33" s="210"/>
    </row>
    <row r="34" spans="1:10" ht="18" customHeight="1" x14ac:dyDescent="0.35">
      <c r="A34" s="210"/>
      <c r="B34" s="210"/>
      <c r="C34" s="210"/>
      <c r="D34" s="210"/>
      <c r="E34" s="210"/>
      <c r="F34" s="210"/>
      <c r="G34" s="210"/>
      <c r="H34" s="210"/>
      <c r="I34" s="210"/>
      <c r="J34" s="210"/>
    </row>
    <row r="35" spans="1:10" ht="18" customHeight="1" x14ac:dyDescent="0.35">
      <c r="A35" s="210"/>
      <c r="B35" s="210"/>
      <c r="C35" s="210"/>
      <c r="D35" s="210"/>
      <c r="E35" s="210"/>
      <c r="F35" s="210"/>
      <c r="G35" s="210"/>
      <c r="H35" s="210"/>
      <c r="I35" s="210"/>
      <c r="J35" s="210"/>
    </row>
    <row r="36" spans="1:10" ht="18" customHeight="1" x14ac:dyDescent="0.35">
      <c r="A36" s="210"/>
      <c r="B36" s="210"/>
      <c r="C36" s="210"/>
      <c r="D36" s="210"/>
      <c r="E36" s="210"/>
      <c r="F36" s="210"/>
      <c r="G36" s="210"/>
      <c r="H36" s="210"/>
      <c r="I36" s="210"/>
      <c r="J36" s="210"/>
    </row>
    <row r="37" spans="1:10" ht="18" customHeight="1" x14ac:dyDescent="0.35">
      <c r="A37" s="210"/>
      <c r="B37" s="210"/>
      <c r="C37" s="210"/>
      <c r="D37" s="210"/>
      <c r="E37" s="210"/>
      <c r="F37" s="210"/>
      <c r="G37" s="210"/>
      <c r="H37" s="210"/>
      <c r="I37" s="210"/>
      <c r="J37" s="210"/>
    </row>
    <row r="38" spans="1:10" ht="18" customHeight="1" x14ac:dyDescent="0.35">
      <c r="A38" s="210"/>
      <c r="B38" s="210"/>
      <c r="C38" s="210"/>
      <c r="D38" s="210"/>
      <c r="E38" s="210"/>
      <c r="F38" s="210"/>
      <c r="G38" s="210"/>
      <c r="H38" s="210"/>
      <c r="I38" s="210"/>
      <c r="J38" s="210"/>
    </row>
    <row r="39" spans="1:10" ht="18" customHeight="1" x14ac:dyDescent="0.35"/>
    <row r="40" spans="1:10" ht="18" customHeight="1" x14ac:dyDescent="0.35"/>
  </sheetData>
  <mergeCells count="6">
    <mergeCell ref="G3:I3"/>
    <mergeCell ref="G5:I5"/>
    <mergeCell ref="G7:I7"/>
    <mergeCell ref="B7:C7"/>
    <mergeCell ref="B9:C9"/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59"/>
  <sheetViews>
    <sheetView tabSelected="1" zoomScale="125" workbookViewId="0">
      <selection activeCell="C2" sqref="C2"/>
    </sheetView>
  </sheetViews>
  <sheetFormatPr defaultRowHeight="13.2" x14ac:dyDescent="0.25"/>
  <cols>
    <col min="7" max="7" width="13.6640625" customWidth="1"/>
    <col min="9" max="9" width="9.88671875" customWidth="1"/>
    <col min="10" max="10" width="9.109375" hidden="1" customWidth="1"/>
    <col min="11" max="11" width="10.109375" customWidth="1"/>
    <col min="12" max="12" width="20.6640625" bestFit="1" customWidth="1"/>
    <col min="13" max="13" width="5.44140625" bestFit="1" customWidth="1"/>
    <col min="14" max="14" width="16" bestFit="1" customWidth="1"/>
    <col min="15" max="15" width="13" bestFit="1" customWidth="1"/>
  </cols>
  <sheetData>
    <row r="1" spans="1:16" s="4" customFormat="1" ht="17.399999999999999" x14ac:dyDescent="0.3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O1" s="184" t="s">
        <v>264</v>
      </c>
    </row>
    <row r="2" spans="1:16" ht="13.8" thickBot="1" x14ac:dyDescent="0.3">
      <c r="A2" s="121" t="s">
        <v>26</v>
      </c>
      <c r="B2" s="122"/>
      <c r="C2" s="23"/>
      <c r="D2" s="123"/>
      <c r="E2" s="120" t="s">
        <v>27</v>
      </c>
      <c r="F2" s="237"/>
      <c r="G2" s="237"/>
      <c r="H2" s="120" t="s">
        <v>50</v>
      </c>
      <c r="I2" s="124"/>
      <c r="L2" t="s">
        <v>265</v>
      </c>
      <c r="M2" t="s">
        <v>266</v>
      </c>
      <c r="N2" t="s">
        <v>222</v>
      </c>
      <c r="O2" s="184" t="s">
        <v>267</v>
      </c>
      <c r="P2" s="197" t="s">
        <v>268</v>
      </c>
    </row>
    <row r="3" spans="1:16" s="4" customFormat="1" ht="14.25" customHeight="1" x14ac:dyDescent="0.3">
      <c r="A3" s="16"/>
      <c r="B3" s="6"/>
      <c r="C3" s="6"/>
      <c r="D3" s="6"/>
      <c r="E3" s="6"/>
      <c r="F3" s="6"/>
      <c r="G3" s="6"/>
      <c r="I3" s="90"/>
      <c r="J3" s="6"/>
      <c r="L3" s="238">
        <v>1.5</v>
      </c>
      <c r="M3" s="200" t="s">
        <v>269</v>
      </c>
      <c r="N3" s="198">
        <v>4</v>
      </c>
      <c r="O3" s="91"/>
      <c r="P3" s="181">
        <f t="shared" ref="P3:P8" si="0">O3*N3</f>
        <v>0</v>
      </c>
    </row>
    <row r="4" spans="1:16" s="8" customFormat="1" ht="14.25" customHeight="1" x14ac:dyDescent="0.3">
      <c r="A4" s="1" t="s">
        <v>21</v>
      </c>
      <c r="B4" s="1" t="s">
        <v>22</v>
      </c>
      <c r="C4" s="1"/>
      <c r="D4"/>
      <c r="E4"/>
      <c r="F4" s="17" t="s">
        <v>30</v>
      </c>
      <c r="J4" s="7"/>
      <c r="L4" s="238"/>
      <c r="M4" s="200" t="s">
        <v>270</v>
      </c>
      <c r="N4" s="198">
        <v>2.1</v>
      </c>
      <c r="O4" s="91"/>
      <c r="P4" s="181">
        <f t="shared" si="0"/>
        <v>0</v>
      </c>
    </row>
    <row r="5" spans="1:16" s="4" customFormat="1" ht="14.25" customHeight="1" x14ac:dyDescent="0.3">
      <c r="A5" s="91"/>
      <c r="B5" s="91"/>
      <c r="C5" s="13">
        <f>A5-B5</f>
        <v>0</v>
      </c>
      <c r="D5" s="21" t="s">
        <v>23</v>
      </c>
      <c r="E5"/>
      <c r="F5" s="39" t="e">
        <f>D9*150/D8</f>
        <v>#DIV/0!</v>
      </c>
      <c r="G5" s="38" t="e">
        <f>IF(F5&gt;1500,"Dose the System","Gravity unless Elevation Problems")</f>
        <v>#DIV/0!</v>
      </c>
      <c r="H5" s="9"/>
      <c r="I5" s="38"/>
      <c r="J5" s="24"/>
      <c r="L5" s="238">
        <v>2</v>
      </c>
      <c r="M5" s="200" t="s">
        <v>269</v>
      </c>
      <c r="N5" s="198">
        <v>5.2</v>
      </c>
      <c r="O5" s="91"/>
      <c r="P5" s="181">
        <f t="shared" si="0"/>
        <v>0</v>
      </c>
    </row>
    <row r="6" spans="1:16" ht="16.2" x14ac:dyDescent="0.3">
      <c r="A6" s="12" t="s">
        <v>24</v>
      </c>
      <c r="C6" s="11" t="e">
        <f>C5/A7*100</f>
        <v>#DIV/0!</v>
      </c>
      <c r="D6" s="37" t="s">
        <v>25</v>
      </c>
      <c r="E6" s="21"/>
      <c r="F6" t="s">
        <v>31</v>
      </c>
      <c r="G6" s="40"/>
      <c r="H6" s="91"/>
      <c r="L6" s="238"/>
      <c r="M6" s="200" t="s">
        <v>270</v>
      </c>
      <c r="N6" s="198">
        <v>2.8</v>
      </c>
      <c r="O6" s="91"/>
      <c r="P6" s="181">
        <f t="shared" si="0"/>
        <v>0</v>
      </c>
    </row>
    <row r="7" spans="1:16" ht="16.2" x14ac:dyDescent="0.3">
      <c r="A7" s="91"/>
      <c r="C7" s="16" t="e">
        <f>IF(C6&gt;2,"Curtain drain acceptable","Perimeter Drain Surrounding")</f>
        <v>#DIV/0!</v>
      </c>
      <c r="D7" s="16"/>
      <c r="E7" s="16"/>
      <c r="F7" s="17" t="s">
        <v>33</v>
      </c>
      <c r="H7" s="91"/>
      <c r="L7" s="238">
        <v>3</v>
      </c>
      <c r="M7" s="200" t="s">
        <v>269</v>
      </c>
      <c r="N7" s="198">
        <v>7.7</v>
      </c>
      <c r="O7" s="91"/>
      <c r="P7" s="181">
        <f t="shared" si="0"/>
        <v>0</v>
      </c>
    </row>
    <row r="8" spans="1:16" ht="16.2" x14ac:dyDescent="0.3">
      <c r="C8" s="14" t="s">
        <v>28</v>
      </c>
      <c r="D8" s="91"/>
      <c r="F8" s="1" t="s">
        <v>32</v>
      </c>
      <c r="L8" s="238"/>
      <c r="M8" s="200" t="s">
        <v>270</v>
      </c>
      <c r="N8" s="198">
        <v>4.0999999999999996</v>
      </c>
      <c r="O8" s="91"/>
      <c r="P8" s="181">
        <f t="shared" si="0"/>
        <v>0</v>
      </c>
    </row>
    <row r="9" spans="1:16" x14ac:dyDescent="0.25">
      <c r="C9" s="18" t="s">
        <v>29</v>
      </c>
      <c r="D9" s="91"/>
      <c r="F9" s="17" t="s">
        <v>34</v>
      </c>
      <c r="H9" s="94"/>
      <c r="P9" s="199">
        <f>SUM(P3:P8)</f>
        <v>0</v>
      </c>
    </row>
    <row r="10" spans="1:16" ht="15.6" thickBot="1" x14ac:dyDescent="0.3">
      <c r="A10" s="150" t="e">
        <f>IF(C6&gt;=15,"Slope Unacceptable for Subsurface System","Slope Acceptable for Subsurface System")</f>
        <v>#DIV/0!</v>
      </c>
      <c r="B10" s="150"/>
      <c r="C10" s="151"/>
      <c r="D10" s="151"/>
      <c r="E10" s="23"/>
      <c r="F10" s="23" t="s">
        <v>49</v>
      </c>
      <c r="G10" s="23"/>
      <c r="H10" s="204"/>
      <c r="I10" s="205"/>
    </row>
    <row r="11" spans="1:16" x14ac:dyDescent="0.25">
      <c r="A11" s="201" t="str">
        <f>IF(A7&gt;=42,"segment drain is required", "")</f>
        <v/>
      </c>
      <c r="B11" s="21"/>
      <c r="C11" s="21"/>
      <c r="D11" s="21"/>
      <c r="E11" s="21"/>
      <c r="F11" s="21"/>
      <c r="G11" s="21"/>
      <c r="H11" s="21"/>
    </row>
    <row r="12" spans="1:16" x14ac:dyDescent="0.25">
      <c r="A12" s="25" t="s">
        <v>4</v>
      </c>
      <c r="B12" s="25"/>
      <c r="C12" s="2"/>
      <c r="D12" s="2"/>
      <c r="E12" s="28"/>
      <c r="F12" s="152" t="s">
        <v>223</v>
      </c>
      <c r="G12" s="181">
        <f>D9*150</f>
        <v>0</v>
      </c>
      <c r="H12" s="34" t="s">
        <v>8</v>
      </c>
      <c r="I12" s="34"/>
    </row>
    <row r="13" spans="1:16" x14ac:dyDescent="0.25">
      <c r="A13" s="26" t="s">
        <v>2</v>
      </c>
      <c r="B13" s="12" t="s">
        <v>3</v>
      </c>
      <c r="E13" s="12" t="s">
        <v>11</v>
      </c>
      <c r="F13" s="20" t="s">
        <v>10</v>
      </c>
      <c r="G13" s="181">
        <f>E14/12*0.5*E14/12*0.5*F14*3.14*7.48</f>
        <v>0</v>
      </c>
      <c r="H13" s="34" t="s">
        <v>13</v>
      </c>
      <c r="I13" s="30"/>
    </row>
    <row r="14" spans="1:16" ht="13.8" x14ac:dyDescent="0.25">
      <c r="A14" s="91"/>
      <c r="B14" s="91"/>
      <c r="E14" s="91"/>
      <c r="F14" s="92"/>
      <c r="G14" s="181">
        <f>G12+G13</f>
        <v>0</v>
      </c>
      <c r="H14" s="174" t="s">
        <v>6</v>
      </c>
      <c r="I14" s="11"/>
      <c r="K14" s="184"/>
      <c r="L14" s="189" t="s">
        <v>228</v>
      </c>
      <c r="M14" s="189" t="s">
        <v>229</v>
      </c>
      <c r="N14" s="190" t="s">
        <v>230</v>
      </c>
      <c r="O14" s="189" t="s">
        <v>241</v>
      </c>
    </row>
    <row r="15" spans="1:16" x14ac:dyDescent="0.25">
      <c r="A15" s="175">
        <f>A14*B14/144</f>
        <v>0</v>
      </c>
      <c r="B15" s="14" t="s">
        <v>1</v>
      </c>
      <c r="C15" s="14"/>
      <c r="G15" s="157" t="e">
        <f>G14/A16</f>
        <v>#DIV/0!</v>
      </c>
      <c r="H15" s="11" t="s">
        <v>12</v>
      </c>
      <c r="I15" s="11"/>
      <c r="K15" s="184"/>
      <c r="L15" s="185" t="s">
        <v>239</v>
      </c>
      <c r="M15" s="185">
        <v>1000</v>
      </c>
      <c r="N15" s="185">
        <v>315.77</v>
      </c>
      <c r="O15" s="185" t="s">
        <v>253</v>
      </c>
    </row>
    <row r="16" spans="1:16" x14ac:dyDescent="0.25">
      <c r="A16" s="176">
        <f>A15*7.48</f>
        <v>0</v>
      </c>
      <c r="B16" s="14" t="s">
        <v>5</v>
      </c>
      <c r="C16" s="14"/>
      <c r="G16" s="157">
        <f>E19-D19</f>
        <v>0</v>
      </c>
      <c r="H16" s="182" t="s">
        <v>226</v>
      </c>
      <c r="I16" s="11"/>
      <c r="K16" s="184"/>
      <c r="L16" s="185" t="s">
        <v>231</v>
      </c>
      <c r="M16" s="185">
        <v>1000</v>
      </c>
      <c r="N16" s="185">
        <v>259.31</v>
      </c>
      <c r="O16" s="185" t="s">
        <v>248</v>
      </c>
    </row>
    <row r="17" spans="1:16" x14ac:dyDescent="0.25">
      <c r="K17" s="184"/>
      <c r="L17" s="185" t="s">
        <v>231</v>
      </c>
      <c r="M17" s="185">
        <v>1250</v>
      </c>
      <c r="N17" s="185">
        <v>299.2</v>
      </c>
      <c r="O17" s="185" t="s">
        <v>242</v>
      </c>
    </row>
    <row r="18" spans="1:16" x14ac:dyDescent="0.25">
      <c r="B18" s="2"/>
      <c r="C18" s="12" t="s">
        <v>16</v>
      </c>
      <c r="D18" s="12" t="s">
        <v>17</v>
      </c>
      <c r="E18" s="12" t="s">
        <v>213</v>
      </c>
      <c r="K18" s="184"/>
      <c r="L18" s="185" t="s">
        <v>227</v>
      </c>
      <c r="M18" s="185">
        <v>1100</v>
      </c>
      <c r="N18" s="185">
        <v>336.6</v>
      </c>
      <c r="O18" s="185" t="s">
        <v>243</v>
      </c>
    </row>
    <row r="19" spans="1:16" x14ac:dyDescent="0.25">
      <c r="A19" s="35" t="s">
        <v>15</v>
      </c>
      <c r="B19" s="14"/>
      <c r="C19" s="91"/>
      <c r="D19" s="91"/>
      <c r="E19" s="91"/>
      <c r="K19" s="184"/>
      <c r="L19" s="185" t="s">
        <v>227</v>
      </c>
      <c r="M19" s="185">
        <v>1250</v>
      </c>
      <c r="N19" s="196">
        <v>336.6</v>
      </c>
      <c r="O19" s="185" t="s">
        <v>243</v>
      </c>
    </row>
    <row r="20" spans="1:16" ht="15" customHeight="1" x14ac:dyDescent="0.25">
      <c r="A20" s="172" t="s">
        <v>14</v>
      </c>
      <c r="B20" s="28"/>
      <c r="C20" s="157">
        <f>C19-D19</f>
        <v>0</v>
      </c>
      <c r="D20" s="34" t="s">
        <v>19</v>
      </c>
      <c r="F20" s="14"/>
      <c r="G20" s="152" t="s">
        <v>207</v>
      </c>
      <c r="H20" s="155">
        <f>((G14/20)+(G14/10))/2</f>
        <v>0</v>
      </c>
      <c r="I20" s="83" t="s">
        <v>74</v>
      </c>
      <c r="K20" s="184"/>
      <c r="L20" s="185" t="s">
        <v>236</v>
      </c>
      <c r="M20" s="185">
        <v>1000</v>
      </c>
      <c r="N20" s="196">
        <v>293.07</v>
      </c>
      <c r="O20" s="185" t="s">
        <v>249</v>
      </c>
    </row>
    <row r="21" spans="1:16" ht="15" customHeight="1" x14ac:dyDescent="0.25">
      <c r="A21" s="172" t="s">
        <v>222</v>
      </c>
      <c r="B21" s="28"/>
      <c r="C21" s="157" t="e">
        <f>(10.434*F14*H20^1.85)/(150^1.85*E14^4.8655)+P9</f>
        <v>#DIV/0!</v>
      </c>
      <c r="D21" s="34" t="s">
        <v>19</v>
      </c>
      <c r="L21" s="185" t="s">
        <v>240</v>
      </c>
      <c r="M21" s="185">
        <v>1000</v>
      </c>
      <c r="N21" s="196">
        <v>233.75</v>
      </c>
      <c r="O21" s="185" t="s">
        <v>244</v>
      </c>
    </row>
    <row r="22" spans="1:16" ht="15" customHeight="1" x14ac:dyDescent="0.25">
      <c r="A22" s="173" t="s">
        <v>20</v>
      </c>
      <c r="B22" s="28"/>
      <c r="C22" s="157" t="e">
        <f>C20+C21</f>
        <v>#DIV/0!</v>
      </c>
      <c r="D22" s="34" t="s">
        <v>19</v>
      </c>
      <c r="G22" s="18" t="s">
        <v>194</v>
      </c>
      <c r="H22" s="18" t="s">
        <v>195</v>
      </c>
      <c r="I22" s="21"/>
      <c r="L22" s="196" t="s">
        <v>307</v>
      </c>
      <c r="M22" s="196">
        <v>1000</v>
      </c>
      <c r="N22" s="196">
        <v>244.35</v>
      </c>
      <c r="O22" s="196" t="s">
        <v>308</v>
      </c>
    </row>
    <row r="23" spans="1:16" x14ac:dyDescent="0.25">
      <c r="A23" s="159" t="e">
        <f>IF(C21&gt;7,"Friction Loss is too high","Friction Loss is acctable")</f>
        <v>#DIV/0!</v>
      </c>
      <c r="G23" s="10"/>
      <c r="H23" s="11">
        <f>G23+36</f>
        <v>36</v>
      </c>
      <c r="I23" s="17"/>
      <c r="L23" s="196" t="s">
        <v>307</v>
      </c>
      <c r="M23" s="196">
        <v>1250</v>
      </c>
      <c r="N23" s="196">
        <v>308.55</v>
      </c>
      <c r="O23" s="196" t="s">
        <v>309</v>
      </c>
    </row>
    <row r="24" spans="1:16" s="17" customFormat="1" x14ac:dyDescent="0.25">
      <c r="A24" s="17" t="s">
        <v>202</v>
      </c>
      <c r="B24" s="17" t="s">
        <v>203</v>
      </c>
      <c r="C24" s="17" t="s">
        <v>204</v>
      </c>
      <c r="D24" s="17" t="s">
        <v>205</v>
      </c>
      <c r="E24" s="17" t="s">
        <v>310</v>
      </c>
      <c r="F24"/>
      <c r="G24" s="18" t="s">
        <v>199</v>
      </c>
      <c r="H24" s="18" t="s">
        <v>200</v>
      </c>
      <c r="I24" s="21"/>
      <c r="L24" s="196" t="s">
        <v>271</v>
      </c>
      <c r="M24" s="196">
        <v>1000</v>
      </c>
      <c r="N24" s="196">
        <v>386.04</v>
      </c>
      <c r="O24" s="196" t="s">
        <v>263</v>
      </c>
      <c r="P24"/>
    </row>
    <row r="25" spans="1:16" s="17" customFormat="1" x14ac:dyDescent="0.25">
      <c r="A25"/>
      <c r="B25"/>
      <c r="C25">
        <f>A25-B25</f>
        <v>0</v>
      </c>
      <c r="D25">
        <f>C25*12</f>
        <v>0</v>
      </c>
      <c r="E25">
        <f>B25-3</f>
        <v>-3</v>
      </c>
      <c r="F25"/>
      <c r="G25" s="119"/>
      <c r="H25" s="119"/>
      <c r="I25"/>
      <c r="L25" s="196" t="s">
        <v>262</v>
      </c>
      <c r="M25" s="196">
        <v>1000</v>
      </c>
      <c r="N25" s="196">
        <v>300</v>
      </c>
      <c r="O25" s="196" t="s">
        <v>263</v>
      </c>
      <c r="P25"/>
    </row>
    <row r="26" spans="1:16" s="17" customFormat="1" x14ac:dyDescent="0.25">
      <c r="A26"/>
      <c r="B26"/>
      <c r="C26">
        <f t="shared" ref="C26:C35" si="1">A26-B26</f>
        <v>0</v>
      </c>
      <c r="D26">
        <f t="shared" ref="D26:D35" si="2">C26*12</f>
        <v>0</v>
      </c>
      <c r="E26">
        <f t="shared" ref="E26:E35" si="3">B26-3</f>
        <v>-3</v>
      </c>
      <c r="F26"/>
      <c r="G26" s="180" t="s">
        <v>292</v>
      </c>
      <c r="H26" s="18"/>
      <c r="I26" s="148">
        <f>G25*H25*3</f>
        <v>0</v>
      </c>
      <c r="L26" s="196" t="s">
        <v>262</v>
      </c>
      <c r="M26" s="196">
        <v>1250</v>
      </c>
      <c r="N26" s="196">
        <v>267.60000000000002</v>
      </c>
      <c r="O26" s="196"/>
    </row>
    <row r="27" spans="1:16" s="17" customFormat="1" x14ac:dyDescent="0.25">
      <c r="A27"/>
      <c r="B27"/>
      <c r="C27">
        <f t="shared" si="1"/>
        <v>0</v>
      </c>
      <c r="D27">
        <f t="shared" si="2"/>
        <v>0</v>
      </c>
      <c r="E27">
        <f t="shared" si="3"/>
        <v>-3</v>
      </c>
      <c r="F27"/>
      <c r="G27" s="180" t="s">
        <v>201</v>
      </c>
      <c r="H27" s="18"/>
      <c r="I27" s="148" t="e">
        <f>F5</f>
        <v>#DIV/0!</v>
      </c>
      <c r="L27" s="185" t="s">
        <v>234</v>
      </c>
      <c r="M27" s="185">
        <v>1000</v>
      </c>
      <c r="N27" s="185">
        <v>254.52</v>
      </c>
      <c r="O27" s="185" t="s">
        <v>251</v>
      </c>
    </row>
    <row r="28" spans="1:16" s="17" customFormat="1" x14ac:dyDescent="0.25">
      <c r="A28"/>
      <c r="B28"/>
      <c r="C28">
        <f>A28-B28</f>
        <v>0</v>
      </c>
      <c r="D28">
        <f t="shared" si="2"/>
        <v>0</v>
      </c>
      <c r="E28">
        <f t="shared" si="3"/>
        <v>-3</v>
      </c>
      <c r="F28"/>
      <c r="G28" s="180" t="s">
        <v>293</v>
      </c>
      <c r="H28" s="18"/>
      <c r="I28" s="11" t="e">
        <f>I27-(I27*0.25)</f>
        <v>#DIV/0!</v>
      </c>
      <c r="L28" s="185" t="s">
        <v>234</v>
      </c>
      <c r="M28" s="185">
        <v>1250</v>
      </c>
      <c r="N28" s="185">
        <v>309.07</v>
      </c>
      <c r="O28" s="185" t="s">
        <v>250</v>
      </c>
    </row>
    <row r="29" spans="1:16" s="17" customFormat="1" x14ac:dyDescent="0.25">
      <c r="A29"/>
      <c r="B29"/>
      <c r="C29">
        <f t="shared" si="1"/>
        <v>0</v>
      </c>
      <c r="D29">
        <f t="shared" si="2"/>
        <v>0</v>
      </c>
      <c r="E29">
        <f t="shared" si="3"/>
        <v>-3</v>
      </c>
      <c r="F29"/>
      <c r="I29"/>
      <c r="L29" s="185" t="s">
        <v>232</v>
      </c>
      <c r="M29" s="185">
        <v>1000</v>
      </c>
      <c r="N29" s="185">
        <v>262.83999999999997</v>
      </c>
      <c r="O29" s="185" t="s">
        <v>247</v>
      </c>
    </row>
    <row r="30" spans="1:16" s="17" customFormat="1" x14ac:dyDescent="0.25">
      <c r="A30"/>
      <c r="B30"/>
      <c r="C30">
        <f t="shared" si="1"/>
        <v>0</v>
      </c>
      <c r="D30">
        <f t="shared" si="2"/>
        <v>0</v>
      </c>
      <c r="E30">
        <f t="shared" si="3"/>
        <v>-3</v>
      </c>
      <c r="F30"/>
      <c r="G30" s="28" t="s">
        <v>225</v>
      </c>
      <c r="H30" s="59"/>
      <c r="I30" s="33"/>
      <c r="J30" s="80"/>
      <c r="L30" s="185" t="s">
        <v>232</v>
      </c>
      <c r="M30" s="185">
        <v>1250</v>
      </c>
      <c r="N30" s="185">
        <v>299.2</v>
      </c>
      <c r="O30" s="185" t="s">
        <v>242</v>
      </c>
    </row>
    <row r="31" spans="1:16" s="17" customFormat="1" x14ac:dyDescent="0.25">
      <c r="A31"/>
      <c r="B31"/>
      <c r="C31">
        <f t="shared" si="1"/>
        <v>0</v>
      </c>
      <c r="D31">
        <f t="shared" si="2"/>
        <v>0</v>
      </c>
      <c r="E31">
        <f t="shared" si="3"/>
        <v>-3</v>
      </c>
      <c r="F31"/>
      <c r="G31" s="28">
        <v>2.4</v>
      </c>
      <c r="H31" s="177" t="s">
        <v>196</v>
      </c>
      <c r="I31" s="178">
        <f>G31*I32/G32</f>
        <v>0</v>
      </c>
      <c r="L31" s="185" t="s">
        <v>287</v>
      </c>
      <c r="M31" s="185">
        <v>1500</v>
      </c>
      <c r="N31" s="185">
        <v>121.92</v>
      </c>
      <c r="O31" s="185" t="s">
        <v>288</v>
      </c>
      <c r="P31" s="17" t="s">
        <v>289</v>
      </c>
    </row>
    <row r="32" spans="1:16" s="17" customFormat="1" x14ac:dyDescent="0.25">
      <c r="A32"/>
      <c r="B32"/>
      <c r="C32">
        <f t="shared" si="1"/>
        <v>0</v>
      </c>
      <c r="D32">
        <f t="shared" si="2"/>
        <v>0</v>
      </c>
      <c r="E32">
        <f t="shared" si="3"/>
        <v>-3</v>
      </c>
      <c r="F32"/>
      <c r="G32" s="58">
        <v>100</v>
      </c>
      <c r="H32" s="52"/>
      <c r="I32" s="179"/>
      <c r="L32" s="185" t="s">
        <v>287</v>
      </c>
      <c r="M32" s="185">
        <v>2000</v>
      </c>
      <c r="N32" s="185">
        <v>116.76</v>
      </c>
      <c r="O32" s="185"/>
      <c r="P32" s="17" t="s">
        <v>290</v>
      </c>
    </row>
    <row r="33" spans="1:16" s="17" customFormat="1" x14ac:dyDescent="0.25">
      <c r="A33"/>
      <c r="B33"/>
      <c r="C33">
        <f t="shared" si="1"/>
        <v>0</v>
      </c>
      <c r="D33">
        <f t="shared" si="2"/>
        <v>0</v>
      </c>
      <c r="E33">
        <f t="shared" si="3"/>
        <v>-3</v>
      </c>
      <c r="F33"/>
      <c r="G33" s="28" t="s">
        <v>224</v>
      </c>
      <c r="H33" s="59"/>
      <c r="I33" s="33"/>
      <c r="L33" s="185" t="s">
        <v>353</v>
      </c>
      <c r="M33" s="185">
        <v>1000</v>
      </c>
      <c r="N33" s="185">
        <f>20.8*12</f>
        <v>249.60000000000002</v>
      </c>
      <c r="O33" s="185" t="s">
        <v>352</v>
      </c>
    </row>
    <row r="34" spans="1:16" x14ac:dyDescent="0.25">
      <c r="C34">
        <f t="shared" si="1"/>
        <v>0</v>
      </c>
      <c r="D34">
        <f t="shared" si="2"/>
        <v>0</v>
      </c>
      <c r="E34">
        <f t="shared" si="3"/>
        <v>-3</v>
      </c>
      <c r="G34" s="28">
        <v>4</v>
      </c>
      <c r="H34" s="177" t="s">
        <v>196</v>
      </c>
      <c r="I34" s="178">
        <f>I35*G34/G35</f>
        <v>0</v>
      </c>
      <c r="K34" s="17"/>
      <c r="L34" s="185" t="s">
        <v>353</v>
      </c>
      <c r="M34" s="185">
        <v>1250</v>
      </c>
      <c r="N34" s="185">
        <f>28.2*12</f>
        <v>338.4</v>
      </c>
      <c r="O34" s="185" t="s">
        <v>354</v>
      </c>
      <c r="P34" s="17"/>
    </row>
    <row r="35" spans="1:16" x14ac:dyDescent="0.25">
      <c r="C35">
        <f t="shared" si="1"/>
        <v>0</v>
      </c>
      <c r="D35">
        <f t="shared" si="2"/>
        <v>0</v>
      </c>
      <c r="E35">
        <f t="shared" si="3"/>
        <v>-3</v>
      </c>
      <c r="G35" s="58">
        <v>25</v>
      </c>
      <c r="H35" s="52"/>
      <c r="I35" s="179"/>
      <c r="L35" s="188" t="s">
        <v>233</v>
      </c>
      <c r="M35" s="185">
        <v>1000</v>
      </c>
      <c r="N35" s="185">
        <v>313.23</v>
      </c>
      <c r="O35" s="188"/>
      <c r="P35" s="17"/>
    </row>
    <row r="36" spans="1:16" x14ac:dyDescent="0.25">
      <c r="L36" s="188" t="s">
        <v>237</v>
      </c>
      <c r="M36" s="187">
        <v>1000</v>
      </c>
      <c r="N36" s="191">
        <v>392.7</v>
      </c>
      <c r="O36" s="188" t="s">
        <v>252</v>
      </c>
    </row>
    <row r="37" spans="1:16" x14ac:dyDescent="0.25">
      <c r="A37" s="17" t="s">
        <v>291</v>
      </c>
      <c r="B37" s="17"/>
      <c r="C37" s="17"/>
      <c r="D37" s="17"/>
      <c r="E37" s="111"/>
      <c r="F37" s="17" t="s">
        <v>280</v>
      </c>
      <c r="G37" s="17"/>
      <c r="I37">
        <f>A7*0.25</f>
        <v>0</v>
      </c>
      <c r="L37" s="186" t="s">
        <v>238</v>
      </c>
      <c r="M37" s="187">
        <v>1250</v>
      </c>
      <c r="N37" s="191">
        <v>392.7</v>
      </c>
      <c r="O37" s="186"/>
    </row>
    <row r="38" spans="1:16" x14ac:dyDescent="0.25">
      <c r="A38" s="17" t="s">
        <v>52</v>
      </c>
      <c r="B38" s="17"/>
      <c r="C38" s="17"/>
      <c r="D38" s="17"/>
      <c r="E38" s="111"/>
      <c r="F38" s="17" t="s">
        <v>281</v>
      </c>
      <c r="I38">
        <f>A7*0.5</f>
        <v>0</v>
      </c>
      <c r="K38" s="17"/>
      <c r="L38" s="186" t="s">
        <v>235</v>
      </c>
      <c r="M38" s="185">
        <v>1000</v>
      </c>
      <c r="N38" s="185">
        <v>265.7</v>
      </c>
      <c r="O38" s="186" t="s">
        <v>245</v>
      </c>
    </row>
    <row r="39" spans="1:16" x14ac:dyDescent="0.25">
      <c r="A39" s="17" t="s">
        <v>278</v>
      </c>
      <c r="F39" s="17" t="s">
        <v>311</v>
      </c>
      <c r="G39" s="111"/>
      <c r="H39" s="17"/>
      <c r="I39" s="111"/>
      <c r="K39" s="17"/>
      <c r="L39" s="185" t="s">
        <v>235</v>
      </c>
      <c r="M39" s="185">
        <v>1250</v>
      </c>
      <c r="N39" s="185">
        <v>317.89999999999998</v>
      </c>
      <c r="O39" s="185" t="s">
        <v>246</v>
      </c>
    </row>
    <row r="40" spans="1:16" x14ac:dyDescent="0.25">
      <c r="A40" s="17" t="s">
        <v>173</v>
      </c>
      <c r="B40" s="137"/>
      <c r="C40" s="137"/>
      <c r="D40" s="137"/>
      <c r="E40" s="111"/>
      <c r="F40" s="17" t="s">
        <v>349</v>
      </c>
      <c r="G40" s="17"/>
      <c r="H40" s="17"/>
      <c r="I40" s="111"/>
      <c r="K40" s="17"/>
      <c r="L40" s="17"/>
      <c r="M40" s="17"/>
    </row>
    <row r="41" spans="1:16" x14ac:dyDescent="0.25">
      <c r="A41" s="17" t="s">
        <v>174</v>
      </c>
      <c r="B41" s="137"/>
      <c r="C41" s="137"/>
      <c r="D41" s="137"/>
      <c r="E41" s="111"/>
      <c r="F41" s="17" t="s">
        <v>182</v>
      </c>
      <c r="G41" s="17">
        <f>H7-30</f>
        <v>-30</v>
      </c>
      <c r="H41" s="17" t="s">
        <v>180</v>
      </c>
      <c r="I41" s="111"/>
      <c r="K41" s="17"/>
      <c r="L41" s="17"/>
      <c r="M41" s="17"/>
    </row>
    <row r="42" spans="1:16" x14ac:dyDescent="0.25">
      <c r="A42" s="17" t="s">
        <v>206</v>
      </c>
      <c r="B42" s="17"/>
      <c r="C42" s="17"/>
      <c r="D42" s="17"/>
      <c r="E42" s="111"/>
      <c r="F42" s="17" t="s">
        <v>182</v>
      </c>
      <c r="G42" s="17">
        <f>H7-24</f>
        <v>-24</v>
      </c>
      <c r="H42" s="17" t="s">
        <v>181</v>
      </c>
      <c r="I42" s="111"/>
      <c r="K42" s="17"/>
      <c r="L42" s="17"/>
      <c r="M42" s="17"/>
    </row>
    <row r="43" spans="1:16" x14ac:dyDescent="0.25">
      <c r="A43" s="17" t="s">
        <v>38</v>
      </c>
      <c r="B43" s="17"/>
      <c r="C43" s="17"/>
      <c r="D43" s="17" t="e">
        <f>F5</f>
        <v>#DIV/0!</v>
      </c>
      <c r="E43" s="149">
        <f>I26</f>
        <v>0</v>
      </c>
      <c r="F43" s="17" t="s">
        <v>45</v>
      </c>
      <c r="G43" s="17"/>
      <c r="H43" s="17"/>
      <c r="I43" s="111"/>
      <c r="K43" s="17"/>
      <c r="L43" s="17"/>
      <c r="M43" s="17"/>
    </row>
    <row r="44" spans="1:16" x14ac:dyDescent="0.25">
      <c r="A44" s="17" t="s">
        <v>282</v>
      </c>
      <c r="B44" s="17" t="s">
        <v>149</v>
      </c>
      <c r="D44" s="153" t="s">
        <v>150</v>
      </c>
      <c r="F44" s="17" t="s">
        <v>175</v>
      </c>
      <c r="G44" s="17"/>
      <c r="I44" s="111">
        <f>H23</f>
        <v>36</v>
      </c>
      <c r="K44" s="17"/>
      <c r="L44" s="17"/>
      <c r="M44" s="17"/>
    </row>
    <row r="45" spans="1:16" x14ac:dyDescent="0.25">
      <c r="A45" s="17" t="s">
        <v>276</v>
      </c>
      <c r="C45" s="17"/>
      <c r="D45" s="153"/>
      <c r="E45" s="111"/>
      <c r="F45" s="17" t="s">
        <v>275</v>
      </c>
      <c r="G45" s="17"/>
      <c r="I45" s="111"/>
      <c r="K45" s="17"/>
      <c r="L45" s="17"/>
      <c r="M45" s="17"/>
    </row>
    <row r="46" spans="1:16" x14ac:dyDescent="0.25">
      <c r="A46" s="17" t="s">
        <v>329</v>
      </c>
      <c r="C46" s="17"/>
      <c r="D46" s="153"/>
      <c r="E46" s="111"/>
      <c r="F46" s="17" t="s">
        <v>46</v>
      </c>
      <c r="G46" s="80"/>
      <c r="H46" s="80"/>
      <c r="I46" s="80"/>
      <c r="K46" s="17"/>
      <c r="L46" s="17"/>
      <c r="M46" s="17"/>
    </row>
    <row r="47" spans="1:16" x14ac:dyDescent="0.25">
      <c r="A47" s="17" t="s">
        <v>40</v>
      </c>
      <c r="B47" s="17"/>
      <c r="C47" s="17"/>
      <c r="D47" s="17"/>
      <c r="E47" s="111"/>
      <c r="F47" s="17" t="s">
        <v>47</v>
      </c>
      <c r="G47" s="17"/>
      <c r="H47" s="17"/>
      <c r="I47" s="111"/>
    </row>
    <row r="48" spans="1:16" x14ac:dyDescent="0.25">
      <c r="A48" s="17" t="s">
        <v>183</v>
      </c>
      <c r="B48" s="17"/>
      <c r="C48" s="17"/>
      <c r="D48" s="17"/>
      <c r="E48" s="111"/>
      <c r="F48" s="17" t="s">
        <v>197</v>
      </c>
      <c r="G48" s="17"/>
      <c r="H48" s="17"/>
      <c r="I48" s="111"/>
      <c r="K48" s="17"/>
      <c r="L48" s="17"/>
      <c r="M48" s="17"/>
    </row>
    <row r="49" spans="1:13" x14ac:dyDescent="0.25">
      <c r="A49" s="17" t="s">
        <v>51</v>
      </c>
      <c r="B49" s="17"/>
      <c r="C49" s="17"/>
      <c r="D49" s="17"/>
      <c r="E49" s="111"/>
      <c r="F49" s="17" t="s">
        <v>198</v>
      </c>
      <c r="G49" s="154"/>
      <c r="H49" s="154"/>
      <c r="I49" s="111"/>
      <c r="K49" s="17"/>
      <c r="L49" s="17"/>
      <c r="M49" s="17"/>
    </row>
    <row r="50" spans="1:13" x14ac:dyDescent="0.25">
      <c r="A50" s="17" t="s">
        <v>350</v>
      </c>
      <c r="B50" s="154"/>
      <c r="C50" s="154"/>
      <c r="D50" s="154"/>
      <c r="E50" s="111"/>
      <c r="F50" s="17" t="s">
        <v>348</v>
      </c>
      <c r="G50" s="154"/>
      <c r="H50" s="154"/>
      <c r="I50" s="111"/>
    </row>
    <row r="51" spans="1:13" x14ac:dyDescent="0.25">
      <c r="A51" s="17" t="s">
        <v>312</v>
      </c>
      <c r="B51" s="154"/>
      <c r="C51" s="154"/>
      <c r="D51" s="154"/>
      <c r="E51" s="111"/>
      <c r="F51" s="17" t="s">
        <v>351</v>
      </c>
    </row>
    <row r="52" spans="1:13" x14ac:dyDescent="0.25">
      <c r="A52" s="137" t="s">
        <v>283</v>
      </c>
      <c r="E52" s="154"/>
    </row>
    <row r="53" spans="1:13" x14ac:dyDescent="0.25">
      <c r="A53" s="17"/>
      <c r="E53" s="17"/>
      <c r="F53" s="17"/>
    </row>
    <row r="54" spans="1:13" x14ac:dyDescent="0.25">
      <c r="A54" s="17"/>
      <c r="E54" s="17"/>
      <c r="F54" s="17"/>
    </row>
    <row r="55" spans="1:13" x14ac:dyDescent="0.25">
      <c r="A55" s="17"/>
      <c r="E55" s="17"/>
    </row>
    <row r="56" spans="1:13" x14ac:dyDescent="0.25">
      <c r="A56" s="17"/>
      <c r="E56" s="17"/>
    </row>
    <row r="59" spans="1:13" x14ac:dyDescent="0.25">
      <c r="C59" s="184"/>
      <c r="D59" s="184"/>
    </row>
  </sheetData>
  <mergeCells count="5">
    <mergeCell ref="A1:J1"/>
    <mergeCell ref="F2:G2"/>
    <mergeCell ref="L3:L4"/>
    <mergeCell ref="L5:L6"/>
    <mergeCell ref="L7:L8"/>
  </mergeCells>
  <phoneticPr fontId="0" type="noConversion"/>
  <pageMargins left="0.75" right="0.25" top="0.5" bottom="0.25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3"/>
  <sheetViews>
    <sheetView zoomScale="125" zoomScaleNormal="125" workbookViewId="0">
      <selection activeCell="C2" sqref="C2"/>
    </sheetView>
  </sheetViews>
  <sheetFormatPr defaultRowHeight="13.2" x14ac:dyDescent="0.25"/>
  <cols>
    <col min="2" max="2" width="8.88671875" customWidth="1"/>
    <col min="4" max="4" width="10.5546875" bestFit="1" customWidth="1"/>
    <col min="5" max="5" width="8.109375" customWidth="1"/>
    <col min="6" max="6" width="12.109375" customWidth="1"/>
    <col min="7" max="7" width="13.6640625" customWidth="1"/>
    <col min="9" max="9" width="9.88671875" customWidth="1"/>
    <col min="10" max="10" width="0.33203125" customWidth="1"/>
    <col min="11" max="11" width="10.109375" customWidth="1"/>
    <col min="12" max="12" width="20.33203125" bestFit="1" customWidth="1"/>
    <col min="13" max="13" width="5.44140625" bestFit="1" customWidth="1"/>
    <col min="14" max="14" width="16" bestFit="1" customWidth="1"/>
    <col min="15" max="15" width="13" bestFit="1" customWidth="1"/>
    <col min="16" max="16" width="8.6640625" customWidth="1"/>
    <col min="17" max="17" width="8.88671875" hidden="1" customWidth="1"/>
    <col min="18" max="18" width="20.6640625" bestFit="1" customWidth="1"/>
    <col min="19" max="19" width="20.33203125" bestFit="1" customWidth="1"/>
  </cols>
  <sheetData>
    <row r="1" spans="1:18" s="4" customFormat="1" ht="17.399999999999999" x14ac:dyDescent="0.3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8" ht="13.8" thickBot="1" x14ac:dyDescent="0.3">
      <c r="A2" s="121" t="s">
        <v>26</v>
      </c>
      <c r="B2" s="122"/>
      <c r="C2" s="23"/>
      <c r="D2" s="123"/>
      <c r="E2" s="120" t="s">
        <v>27</v>
      </c>
      <c r="F2" s="237"/>
      <c r="G2" s="237"/>
      <c r="H2" s="120" t="s">
        <v>50</v>
      </c>
      <c r="I2" s="124"/>
      <c r="K2" s="223"/>
    </row>
    <row r="3" spans="1:18" x14ac:dyDescent="0.25">
      <c r="A3" s="211"/>
      <c r="B3" s="212"/>
      <c r="C3" s="21"/>
      <c r="D3" s="213"/>
      <c r="E3" s="9"/>
      <c r="F3" s="37"/>
      <c r="G3" s="37"/>
      <c r="H3" s="9"/>
      <c r="I3" s="214"/>
      <c r="K3" s="214"/>
    </row>
    <row r="4" spans="1:18" s="8" customFormat="1" ht="14.25" customHeight="1" x14ac:dyDescent="0.25">
      <c r="A4" s="1" t="s">
        <v>21</v>
      </c>
      <c r="B4" s="1" t="s">
        <v>22</v>
      </c>
      <c r="C4" s="1"/>
      <c r="D4"/>
      <c r="E4" s="217"/>
      <c r="F4"/>
      <c r="G4"/>
      <c r="H4" s="215"/>
      <c r="I4" s="215"/>
      <c r="J4" s="130"/>
      <c r="K4" s="130"/>
      <c r="R4" s="193"/>
    </row>
    <row r="5" spans="1:18" s="4" customFormat="1" ht="14.25" customHeight="1" x14ac:dyDescent="0.3">
      <c r="A5" s="91"/>
      <c r="B5" s="91"/>
      <c r="C5" s="13">
        <f>A5-B5</f>
        <v>0</v>
      </c>
      <c r="D5" s="21" t="s">
        <v>23</v>
      </c>
      <c r="E5" s="246" t="s">
        <v>320</v>
      </c>
      <c r="F5" s="247"/>
      <c r="G5" s="91"/>
      <c r="H5" s="215"/>
      <c r="I5" s="215"/>
      <c r="J5" s="216"/>
      <c r="K5" s="215"/>
      <c r="R5" s="193"/>
    </row>
    <row r="6" spans="1:18" x14ac:dyDescent="0.25">
      <c r="A6" s="12" t="s">
        <v>24</v>
      </c>
      <c r="C6" s="11" t="e">
        <f>C5/A7*100</f>
        <v>#DIV/0!</v>
      </c>
      <c r="D6" s="37" t="s">
        <v>25</v>
      </c>
      <c r="E6" s="244" t="s">
        <v>321</v>
      </c>
      <c r="F6" s="244"/>
      <c r="G6" s="245" t="str">
        <f>IF(G21&lt;=750,"1 bed is acceptable","2 beds are required")</f>
        <v>1 bed is acceptable</v>
      </c>
      <c r="H6" s="245"/>
      <c r="I6" s="215"/>
      <c r="J6" s="102"/>
      <c r="K6" s="215"/>
      <c r="R6" s="193"/>
    </row>
    <row r="7" spans="1:18" x14ac:dyDescent="0.25">
      <c r="A7" s="91"/>
      <c r="B7" s="16" t="e">
        <f>IF(C6&gt;2,"Curtain drain acceptable","Perimeter Drain Surrounding")</f>
        <v>#DIV/0!</v>
      </c>
      <c r="D7" s="16"/>
      <c r="E7" s="239" t="s">
        <v>322</v>
      </c>
      <c r="F7" s="240"/>
      <c r="G7" s="231"/>
      <c r="J7" s="102"/>
      <c r="K7" s="215"/>
      <c r="R7" s="193"/>
    </row>
    <row r="8" spans="1:18" x14ac:dyDescent="0.25">
      <c r="B8" t="e">
        <f>IF(C6&gt;=0.5,"Design for a sloping site.","Design for a level site.")</f>
        <v>#DIV/0!</v>
      </c>
      <c r="E8" s="241" t="s">
        <v>323</v>
      </c>
      <c r="F8" s="241"/>
      <c r="G8" s="11">
        <f>B16*70</f>
        <v>0</v>
      </c>
      <c r="I8" s="102"/>
      <c r="J8" s="102"/>
      <c r="K8" s="215"/>
      <c r="R8" s="193"/>
    </row>
    <row r="9" spans="1:18" x14ac:dyDescent="0.25">
      <c r="A9" s="159" t="e">
        <f>IF(C6&gt;=15,"Slope Unacceptable for Subsurface System","Slope Acceptable for Subsurface System")</f>
        <v>#DIV/0!</v>
      </c>
      <c r="E9" s="242" t="s">
        <v>324</v>
      </c>
      <c r="F9" s="242"/>
      <c r="G9" s="11" t="e">
        <f>ROUNDUP(G8/G7,0)</f>
        <v>#DIV/0!</v>
      </c>
      <c r="J9" s="102"/>
      <c r="K9" s="215"/>
      <c r="R9" s="193"/>
    </row>
    <row r="10" spans="1:18" x14ac:dyDescent="0.25">
      <c r="A10" t="s">
        <v>31</v>
      </c>
      <c r="B10" s="8"/>
      <c r="C10" s="91"/>
      <c r="E10" s="243" t="s">
        <v>331</v>
      </c>
      <c r="F10" s="243"/>
      <c r="G10" s="29">
        <f>ROUNDUP(G5/(G7+2),1)</f>
        <v>0</v>
      </c>
      <c r="H10" t="s">
        <v>333</v>
      </c>
      <c r="I10" s="91"/>
      <c r="J10" s="102"/>
      <c r="K10" s="215"/>
      <c r="R10" s="21"/>
    </row>
    <row r="11" spans="1:18" ht="15" x14ac:dyDescent="0.25">
      <c r="A11" s="17" t="s">
        <v>33</v>
      </c>
      <c r="B11" s="38"/>
      <c r="C11" s="91"/>
      <c r="D11" s="195"/>
      <c r="E11" s="227" t="s">
        <v>332</v>
      </c>
      <c r="F11" s="227"/>
      <c r="G11" s="29">
        <f>G7+2</f>
        <v>2</v>
      </c>
      <c r="H11" s="102" t="s">
        <v>333</v>
      </c>
      <c r="I11" s="91"/>
      <c r="J11" s="102"/>
      <c r="K11" s="215"/>
    </row>
    <row r="12" spans="1:18" x14ac:dyDescent="0.25">
      <c r="A12" s="1" t="s">
        <v>32</v>
      </c>
      <c r="B12" s="40"/>
      <c r="C12" s="21"/>
      <c r="D12" s="21"/>
      <c r="E12" s="227" t="s">
        <v>330</v>
      </c>
      <c r="F12" s="228"/>
      <c r="G12" s="29">
        <f>I10*I11</f>
        <v>0</v>
      </c>
      <c r="H12" s="219"/>
      <c r="I12" s="220"/>
      <c r="J12" s="102"/>
      <c r="K12" s="218"/>
    </row>
    <row r="13" spans="1:18" ht="13.8" x14ac:dyDescent="0.25">
      <c r="A13" s="17" t="s">
        <v>34</v>
      </c>
      <c r="C13" s="91"/>
      <c r="E13" s="221"/>
      <c r="F13" s="102"/>
      <c r="G13" s="194" t="str">
        <f>IF(G12&gt;=G5,"Square footage is acceptable","Additional square footage requried")</f>
        <v>Square footage is acceptable</v>
      </c>
      <c r="H13" s="102"/>
      <c r="I13" s="102"/>
      <c r="L13" s="17"/>
      <c r="M13" s="17"/>
      <c r="N13" s="17"/>
      <c r="O13" s="17"/>
    </row>
    <row r="14" spans="1:18" ht="13.8" x14ac:dyDescent="0.25">
      <c r="A14" t="s">
        <v>49</v>
      </c>
      <c r="C14" s="91"/>
      <c r="F14" s="2"/>
      <c r="G14" s="12" t="s">
        <v>16</v>
      </c>
      <c r="H14" s="12" t="s">
        <v>17</v>
      </c>
      <c r="I14" s="12" t="s">
        <v>213</v>
      </c>
      <c r="K14" s="184"/>
      <c r="L14" s="189" t="s">
        <v>228</v>
      </c>
      <c r="M14" s="189" t="s">
        <v>229</v>
      </c>
      <c r="N14" s="190" t="s">
        <v>230</v>
      </c>
      <c r="O14" s="189" t="s">
        <v>241</v>
      </c>
    </row>
    <row r="15" spans="1:18" x14ac:dyDescent="0.25">
      <c r="A15" s="14" t="s">
        <v>28</v>
      </c>
      <c r="B15" s="91"/>
      <c r="E15" s="35" t="s">
        <v>15</v>
      </c>
      <c r="F15" s="14"/>
      <c r="G15" s="91"/>
      <c r="H15" s="91"/>
      <c r="I15" s="91"/>
      <c r="K15" s="184"/>
      <c r="L15" s="185" t="s">
        <v>239</v>
      </c>
      <c r="M15" s="185">
        <v>1000</v>
      </c>
      <c r="N15" s="185">
        <v>315.77</v>
      </c>
      <c r="O15" s="185" t="s">
        <v>253</v>
      </c>
    </row>
    <row r="16" spans="1:18" x14ac:dyDescent="0.25">
      <c r="A16" s="18" t="s">
        <v>29</v>
      </c>
      <c r="B16" s="91"/>
      <c r="E16" s="172" t="s">
        <v>14</v>
      </c>
      <c r="F16" s="28"/>
      <c r="G16" s="157">
        <f>G15-H15</f>
        <v>0</v>
      </c>
      <c r="H16" s="34" t="s">
        <v>19</v>
      </c>
      <c r="J16" s="102"/>
      <c r="K16" s="217"/>
      <c r="L16" s="185" t="s">
        <v>231</v>
      </c>
      <c r="M16" s="185">
        <v>1000</v>
      </c>
      <c r="N16" s="185">
        <v>259.31</v>
      </c>
      <c r="O16" s="185" t="s">
        <v>248</v>
      </c>
    </row>
    <row r="17" spans="1:18" x14ac:dyDescent="0.25">
      <c r="E17" s="172" t="s">
        <v>222</v>
      </c>
      <c r="F17" s="28"/>
      <c r="G17" s="157" t="e">
        <f>(10.434*F23*G19^1.85)/(150^1.85*E23^4.8655)</f>
        <v>#DIV/0!</v>
      </c>
      <c r="H17" s="34" t="s">
        <v>19</v>
      </c>
      <c r="J17" s="102"/>
      <c r="K17" s="217"/>
      <c r="L17" s="185" t="s">
        <v>231</v>
      </c>
      <c r="M17" s="185">
        <v>1250</v>
      </c>
      <c r="N17" s="185">
        <v>299.2</v>
      </c>
      <c r="O17" s="185" t="s">
        <v>242</v>
      </c>
    </row>
    <row r="18" spans="1:18" x14ac:dyDescent="0.25">
      <c r="A18" s="25" t="s">
        <v>4</v>
      </c>
      <c r="B18" s="25"/>
      <c r="C18" s="2"/>
      <c r="E18" s="173" t="s">
        <v>20</v>
      </c>
      <c r="F18" s="28"/>
      <c r="G18" s="157" t="e">
        <f>G16+G17</f>
        <v>#DIV/0!</v>
      </c>
      <c r="H18" s="34" t="s">
        <v>19</v>
      </c>
      <c r="J18" s="102"/>
      <c r="K18" s="217"/>
      <c r="L18" s="185" t="s">
        <v>227</v>
      </c>
      <c r="M18" s="185">
        <v>1100</v>
      </c>
      <c r="N18" s="185">
        <v>336.6</v>
      </c>
      <c r="O18" s="185" t="s">
        <v>243</v>
      </c>
    </row>
    <row r="19" spans="1:18" x14ac:dyDescent="0.25">
      <c r="A19" s="26" t="s">
        <v>2</v>
      </c>
      <c r="B19" s="12" t="s">
        <v>3</v>
      </c>
      <c r="E19" s="25" t="s">
        <v>207</v>
      </c>
      <c r="F19" s="25"/>
      <c r="G19" s="232">
        <f>((G23/20)+(G23/10))/2</f>
        <v>0</v>
      </c>
      <c r="H19" s="11" t="s">
        <v>74</v>
      </c>
      <c r="J19" s="102"/>
      <c r="K19" s="217"/>
      <c r="L19" s="185" t="s">
        <v>227</v>
      </c>
      <c r="M19" s="185">
        <v>1250</v>
      </c>
      <c r="N19" s="185">
        <v>336.6</v>
      </c>
      <c r="O19" s="185" t="s">
        <v>243</v>
      </c>
    </row>
    <row r="20" spans="1:18" x14ac:dyDescent="0.25">
      <c r="A20" s="91"/>
      <c r="B20" s="91"/>
      <c r="E20" s="159" t="e">
        <f>IF(G17&gt;7,"Friction Loss is too high","Friction Loss is acctable")</f>
        <v>#DIV/0!</v>
      </c>
      <c r="J20" s="102"/>
      <c r="K20" s="217"/>
      <c r="L20" s="185" t="s">
        <v>236</v>
      </c>
      <c r="M20" s="185">
        <v>1000</v>
      </c>
      <c r="N20" s="185">
        <v>293.07</v>
      </c>
      <c r="O20" s="185" t="s">
        <v>249</v>
      </c>
      <c r="R20" t="s">
        <v>325</v>
      </c>
    </row>
    <row r="21" spans="1:18" ht="15" customHeight="1" x14ac:dyDescent="0.25">
      <c r="A21" s="175">
        <f>A20*B20/144</f>
        <v>0</v>
      </c>
      <c r="B21" s="14" t="s">
        <v>1</v>
      </c>
      <c r="C21" s="14"/>
      <c r="E21" s="21"/>
      <c r="F21" s="152" t="s">
        <v>223</v>
      </c>
      <c r="G21" s="181">
        <f>B16*150</f>
        <v>0</v>
      </c>
      <c r="H21" s="34" t="s">
        <v>8</v>
      </c>
      <c r="I21" s="34"/>
      <c r="J21" s="102"/>
      <c r="K21" s="102"/>
      <c r="L21" s="185" t="s">
        <v>240</v>
      </c>
      <c r="M21" s="185">
        <v>1000</v>
      </c>
      <c r="N21" s="185">
        <v>233.75</v>
      </c>
      <c r="O21" s="185" t="s">
        <v>244</v>
      </c>
    </row>
    <row r="22" spans="1:18" ht="15" customHeight="1" x14ac:dyDescent="0.25">
      <c r="A22" s="176">
        <f>A21*7.48</f>
        <v>0</v>
      </c>
      <c r="B22" s="14" t="s">
        <v>5</v>
      </c>
      <c r="C22" s="14"/>
      <c r="E22" s="12" t="s">
        <v>11</v>
      </c>
      <c r="F22" s="12" t="s">
        <v>10</v>
      </c>
      <c r="G22" s="181">
        <f>E23/12*0.5*E23/12*0.5*F23*3.14*7.48</f>
        <v>0</v>
      </c>
      <c r="H22" s="34" t="s">
        <v>13</v>
      </c>
      <c r="I22" s="30"/>
      <c r="J22" s="102"/>
      <c r="K22" s="102"/>
      <c r="L22" s="196" t="s">
        <v>271</v>
      </c>
      <c r="M22" s="196">
        <v>1000</v>
      </c>
      <c r="N22" s="196">
        <v>386.04</v>
      </c>
      <c r="O22" s="196" t="s">
        <v>263</v>
      </c>
    </row>
    <row r="23" spans="1:18" ht="15" customHeight="1" x14ac:dyDescent="0.25">
      <c r="E23" s="91"/>
      <c r="F23" s="92"/>
      <c r="G23" s="181">
        <f>(G21/6)+G22</f>
        <v>0</v>
      </c>
      <c r="H23" s="174" t="s">
        <v>6</v>
      </c>
      <c r="I23" s="11"/>
      <c r="L23" s="196" t="s">
        <v>262</v>
      </c>
      <c r="M23" s="196">
        <v>1000</v>
      </c>
      <c r="N23" s="196">
        <v>300</v>
      </c>
      <c r="O23" s="196" t="s">
        <v>263</v>
      </c>
    </row>
    <row r="24" spans="1:18" x14ac:dyDescent="0.25">
      <c r="E24" s="17"/>
      <c r="F24" s="17"/>
      <c r="G24" s="157" t="e">
        <f>G23/A22</f>
        <v>#DIV/0!</v>
      </c>
      <c r="H24" s="11" t="s">
        <v>12</v>
      </c>
      <c r="I24" s="11"/>
      <c r="J24" s="17"/>
      <c r="K24" s="17"/>
      <c r="L24" s="196" t="s">
        <v>262</v>
      </c>
      <c r="M24" s="196">
        <v>1250</v>
      </c>
      <c r="N24" s="185">
        <v>267.60000000000002</v>
      </c>
      <c r="O24" s="196"/>
    </row>
    <row r="25" spans="1:18" s="17" customFormat="1" x14ac:dyDescent="0.25">
      <c r="G25" s="157">
        <f>I15-H15</f>
        <v>0</v>
      </c>
      <c r="H25" s="182" t="s">
        <v>226</v>
      </c>
      <c r="I25" s="11"/>
      <c r="L25" s="185" t="s">
        <v>234</v>
      </c>
      <c r="M25" s="185">
        <v>1000</v>
      </c>
      <c r="N25" s="185">
        <v>254.52</v>
      </c>
      <c r="O25" s="185" t="s">
        <v>251</v>
      </c>
    </row>
    <row r="26" spans="1:18" s="17" customFormat="1" x14ac:dyDescent="0.25">
      <c r="E26"/>
      <c r="L26" s="185" t="s">
        <v>234</v>
      </c>
      <c r="M26" s="185">
        <v>1250</v>
      </c>
      <c r="N26" s="185">
        <v>309.07</v>
      </c>
      <c r="O26" s="185" t="s">
        <v>250</v>
      </c>
    </row>
    <row r="27" spans="1:18" s="17" customFormat="1" x14ac:dyDescent="0.25">
      <c r="A27" s="17" t="s">
        <v>291</v>
      </c>
      <c r="E27" s="202"/>
      <c r="F27" s="17" t="s">
        <v>280</v>
      </c>
      <c r="G27"/>
      <c r="H27"/>
      <c r="I27" s="162"/>
      <c r="L27" s="185" t="s">
        <v>232</v>
      </c>
      <c r="M27" s="185">
        <v>1000</v>
      </c>
      <c r="N27" s="185">
        <v>262.83999999999997</v>
      </c>
      <c r="O27" s="185" t="s">
        <v>247</v>
      </c>
    </row>
    <row r="28" spans="1:18" s="17" customFormat="1" x14ac:dyDescent="0.25">
      <c r="A28" s="17" t="s">
        <v>52</v>
      </c>
      <c r="E28" s="202"/>
      <c r="F28" s="17" t="s">
        <v>281</v>
      </c>
      <c r="G28"/>
      <c r="H28"/>
      <c r="I28" s="162"/>
      <c r="L28" s="185" t="s">
        <v>232</v>
      </c>
      <c r="M28" s="185">
        <v>1250</v>
      </c>
      <c r="N28" s="185">
        <v>299.2</v>
      </c>
      <c r="O28" s="185" t="s">
        <v>242</v>
      </c>
    </row>
    <row r="29" spans="1:18" s="17" customFormat="1" x14ac:dyDescent="0.25">
      <c r="A29" s="17" t="s">
        <v>278</v>
      </c>
      <c r="E29" s="202"/>
      <c r="F29" s="17" t="s">
        <v>274</v>
      </c>
      <c r="I29" s="153"/>
      <c r="L29" s="185" t="s">
        <v>287</v>
      </c>
      <c r="M29" s="185">
        <v>1500</v>
      </c>
      <c r="N29" s="185">
        <v>121.92</v>
      </c>
      <c r="O29" s="185" t="s">
        <v>288</v>
      </c>
    </row>
    <row r="30" spans="1:18" s="17" customFormat="1" x14ac:dyDescent="0.25">
      <c r="A30" s="17" t="s">
        <v>173</v>
      </c>
      <c r="E30" s="202"/>
      <c r="F30" s="17" t="s">
        <v>328</v>
      </c>
      <c r="I30" s="224"/>
      <c r="L30" s="185" t="s">
        <v>287</v>
      </c>
      <c r="M30" s="185">
        <v>2000</v>
      </c>
      <c r="N30" s="185">
        <v>116.76</v>
      </c>
      <c r="O30" s="185"/>
    </row>
    <row r="31" spans="1:18" s="17" customFormat="1" x14ac:dyDescent="0.25">
      <c r="A31" s="17" t="s">
        <v>174</v>
      </c>
      <c r="E31" s="202"/>
      <c r="F31" s="17" t="s">
        <v>327</v>
      </c>
      <c r="I31" s="153"/>
      <c r="J31" s="202">
        <f>G10*0.25</f>
        <v>0</v>
      </c>
      <c r="L31" s="188" t="s">
        <v>233</v>
      </c>
      <c r="M31" s="185">
        <v>1000</v>
      </c>
      <c r="N31" s="185">
        <v>313.23</v>
      </c>
      <c r="O31" s="188"/>
    </row>
    <row r="32" spans="1:18" s="17" customFormat="1" x14ac:dyDescent="0.25">
      <c r="A32" s="17" t="s">
        <v>206</v>
      </c>
      <c r="E32" s="202"/>
      <c r="F32" s="17" t="s">
        <v>255</v>
      </c>
      <c r="G32"/>
      <c r="H32"/>
      <c r="I32" s="224"/>
      <c r="J32" s="202">
        <f>G10*0.5</f>
        <v>0</v>
      </c>
      <c r="L32" s="188" t="s">
        <v>237</v>
      </c>
      <c r="M32" s="187">
        <v>1000</v>
      </c>
      <c r="N32" s="191">
        <v>392.7</v>
      </c>
      <c r="O32" s="188" t="s">
        <v>252</v>
      </c>
    </row>
    <row r="33" spans="1:15" s="17" customFormat="1" x14ac:dyDescent="0.25">
      <c r="A33" s="17" t="s">
        <v>285</v>
      </c>
      <c r="B33" s="17" t="s">
        <v>149</v>
      </c>
      <c r="C33"/>
      <c r="D33" s="17" t="s">
        <v>150</v>
      </c>
      <c r="E33"/>
      <c r="F33" s="17" t="s">
        <v>256</v>
      </c>
      <c r="G33"/>
      <c r="H33"/>
      <c r="I33" s="224"/>
      <c r="L33" s="186" t="s">
        <v>238</v>
      </c>
      <c r="M33" s="187">
        <v>1250</v>
      </c>
      <c r="N33" s="191">
        <v>392.7</v>
      </c>
      <c r="O33" s="186"/>
    </row>
    <row r="34" spans="1:15" s="17" customFormat="1" x14ac:dyDescent="0.25">
      <c r="A34" s="17" t="s">
        <v>329</v>
      </c>
      <c r="E34"/>
      <c r="F34" s="17" t="s">
        <v>258</v>
      </c>
      <c r="G34"/>
      <c r="H34" s="17" t="s">
        <v>259</v>
      </c>
      <c r="I34" s="224"/>
      <c r="L34" s="186" t="s">
        <v>235</v>
      </c>
      <c r="M34" s="185">
        <v>1000</v>
      </c>
      <c r="N34" s="185">
        <v>265.7</v>
      </c>
      <c r="O34" s="186" t="s">
        <v>245</v>
      </c>
    </row>
    <row r="35" spans="1:15" s="17" customFormat="1" x14ac:dyDescent="0.25">
      <c r="A35" s="17" t="s">
        <v>284</v>
      </c>
      <c r="C35" s="17" t="s">
        <v>277</v>
      </c>
      <c r="E35"/>
      <c r="F35" s="17" t="s">
        <v>257</v>
      </c>
      <c r="I35" s="224"/>
      <c r="J35"/>
      <c r="L35" s="185" t="s">
        <v>235</v>
      </c>
      <c r="M35" s="185">
        <v>1250</v>
      </c>
      <c r="N35" s="185">
        <v>317.89999999999998</v>
      </c>
      <c r="O35" s="185" t="s">
        <v>246</v>
      </c>
    </row>
    <row r="36" spans="1:15" ht="14.4" x14ac:dyDescent="0.3">
      <c r="A36" s="17" t="s">
        <v>40</v>
      </c>
      <c r="C36" s="17"/>
      <c r="D36" s="17"/>
      <c r="F36" s="17" t="s">
        <v>272</v>
      </c>
      <c r="G36" s="17"/>
      <c r="I36" s="225">
        <f>C11-30</f>
        <v>-30</v>
      </c>
    </row>
    <row r="37" spans="1:15" x14ac:dyDescent="0.25">
      <c r="A37" s="17" t="s">
        <v>183</v>
      </c>
      <c r="E37" s="17"/>
      <c r="F37" s="17" t="s">
        <v>273</v>
      </c>
      <c r="G37" s="17"/>
      <c r="I37" s="225">
        <f>C11-24</f>
        <v>-24</v>
      </c>
    </row>
    <row r="38" spans="1:15" x14ac:dyDescent="0.25">
      <c r="A38" s="17" t="s">
        <v>51</v>
      </c>
      <c r="F38" s="17" t="s">
        <v>175</v>
      </c>
      <c r="G38" s="17"/>
      <c r="I38" s="224"/>
    </row>
    <row r="39" spans="1:15" x14ac:dyDescent="0.25">
      <c r="A39" s="17" t="s">
        <v>350</v>
      </c>
      <c r="F39" s="17" t="s">
        <v>346</v>
      </c>
      <c r="G39" s="80"/>
      <c r="H39" s="80"/>
      <c r="I39" s="224"/>
    </row>
    <row r="40" spans="1:15" x14ac:dyDescent="0.25">
      <c r="A40" s="17" t="s">
        <v>261</v>
      </c>
      <c r="F40" s="17" t="s">
        <v>347</v>
      </c>
      <c r="G40" s="40"/>
      <c r="H40" s="40"/>
      <c r="I40" s="224"/>
    </row>
    <row r="41" spans="1:15" x14ac:dyDescent="0.25">
      <c r="A41" s="17" t="s">
        <v>326</v>
      </c>
      <c r="F41" s="17" t="s">
        <v>197</v>
      </c>
      <c r="G41" s="40"/>
      <c r="H41" s="40"/>
      <c r="I41" s="224"/>
      <c r="K41" s="17"/>
    </row>
    <row r="42" spans="1:15" x14ac:dyDescent="0.25">
      <c r="A42" s="17" t="s">
        <v>254</v>
      </c>
      <c r="F42" s="17" t="s">
        <v>348</v>
      </c>
      <c r="K42" s="17"/>
    </row>
    <row r="43" spans="1:15" x14ac:dyDescent="0.25">
      <c r="A43" s="17" t="s">
        <v>260</v>
      </c>
      <c r="E43" s="17"/>
      <c r="F43" s="17" t="s">
        <v>351</v>
      </c>
      <c r="K43" s="17"/>
    </row>
    <row r="44" spans="1:15" x14ac:dyDescent="0.25">
      <c r="A44" s="137" t="s">
        <v>48</v>
      </c>
      <c r="B44" s="17"/>
      <c r="C44" s="17"/>
      <c r="D44" s="17"/>
      <c r="E44" s="17"/>
      <c r="K44" s="17"/>
    </row>
    <row r="45" spans="1:15" x14ac:dyDescent="0.25">
      <c r="E45" s="17"/>
      <c r="K45" s="17"/>
    </row>
    <row r="46" spans="1:15" x14ac:dyDescent="0.25">
      <c r="E46" s="17"/>
      <c r="K46" s="17"/>
    </row>
    <row r="47" spans="1:15" x14ac:dyDescent="0.25">
      <c r="E47" s="17"/>
      <c r="K47" s="17"/>
    </row>
    <row r="48" spans="1:15" x14ac:dyDescent="0.25">
      <c r="K48" s="17"/>
    </row>
    <row r="49" spans="2:11" x14ac:dyDescent="0.25">
      <c r="B49" s="17"/>
      <c r="C49" s="17"/>
    </row>
    <row r="50" spans="2:11" x14ac:dyDescent="0.25">
      <c r="B50" s="17"/>
      <c r="C50" s="17"/>
      <c r="K50" s="17"/>
    </row>
    <row r="51" spans="2:11" x14ac:dyDescent="0.25">
      <c r="B51" s="17"/>
      <c r="C51" s="17"/>
      <c r="D51" s="17"/>
      <c r="K51" s="17"/>
    </row>
    <row r="52" spans="2:11" x14ac:dyDescent="0.25">
      <c r="B52" s="17"/>
      <c r="C52" s="17"/>
      <c r="D52" s="17"/>
    </row>
    <row r="53" spans="2:11" x14ac:dyDescent="0.25">
      <c r="B53" s="17"/>
      <c r="C53" s="17"/>
      <c r="D53" s="17"/>
    </row>
  </sheetData>
  <mergeCells count="9">
    <mergeCell ref="G6:H6"/>
    <mergeCell ref="A1:J1"/>
    <mergeCell ref="F2:G2"/>
    <mergeCell ref="E5:F5"/>
    <mergeCell ref="E7:F7"/>
    <mergeCell ref="E8:F8"/>
    <mergeCell ref="E9:F9"/>
    <mergeCell ref="E10:F10"/>
    <mergeCell ref="E6:F6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57"/>
  <sheetViews>
    <sheetView zoomScale="130" workbookViewId="0">
      <selection activeCell="C2" sqref="C2"/>
    </sheetView>
  </sheetViews>
  <sheetFormatPr defaultRowHeight="13.2" x14ac:dyDescent="0.25"/>
  <cols>
    <col min="5" max="5" width="8.6640625" customWidth="1"/>
    <col min="6" max="6" width="12.5546875" customWidth="1"/>
    <col min="7" max="7" width="13.6640625" customWidth="1"/>
    <col min="9" max="9" width="9.88671875" customWidth="1"/>
    <col min="10" max="10" width="9.109375" hidden="1" customWidth="1"/>
    <col min="11" max="11" width="9.109375" customWidth="1"/>
    <col min="12" max="12" width="20.33203125" bestFit="1" customWidth="1"/>
    <col min="13" max="13" width="5.44140625" bestFit="1" customWidth="1"/>
    <col min="14" max="14" width="16" bestFit="1" customWidth="1"/>
    <col min="15" max="15" width="13" bestFit="1" customWidth="1"/>
  </cols>
  <sheetData>
    <row r="1" spans="1:18" s="4" customFormat="1" ht="17.399999999999999" x14ac:dyDescent="0.3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19"/>
    </row>
    <row r="2" spans="1:18" ht="13.8" thickBot="1" x14ac:dyDescent="0.3">
      <c r="A2" s="121" t="s">
        <v>26</v>
      </c>
      <c r="B2" s="122"/>
      <c r="C2" s="23"/>
      <c r="D2" s="123"/>
      <c r="E2" s="120" t="s">
        <v>27</v>
      </c>
      <c r="F2" s="237"/>
      <c r="G2" s="237"/>
      <c r="H2" s="120" t="s">
        <v>50</v>
      </c>
      <c r="I2" s="124"/>
    </row>
    <row r="3" spans="1:18" s="4" customFormat="1" ht="14.25" customHeight="1" x14ac:dyDescent="0.3">
      <c r="A3" s="211"/>
      <c r="B3" s="212"/>
      <c r="C3" s="21"/>
      <c r="D3" s="213"/>
      <c r="E3" s="24"/>
      <c r="F3" s="37"/>
      <c r="G3" s="37"/>
      <c r="H3" s="9"/>
      <c r="I3" s="214"/>
      <c r="J3" s="6"/>
      <c r="K3" s="6"/>
      <c r="R3" s="193"/>
    </row>
    <row r="4" spans="1:18" s="8" customFormat="1" ht="14.25" customHeight="1" x14ac:dyDescent="0.3">
      <c r="A4" s="19"/>
      <c r="B4" s="6"/>
      <c r="C4" s="6"/>
      <c r="D4" s="6"/>
      <c r="E4" s="215"/>
      <c r="F4" s="215"/>
      <c r="G4" s="215"/>
      <c r="H4" s="107"/>
      <c r="I4" s="107"/>
      <c r="J4" s="107"/>
      <c r="K4" s="229"/>
      <c r="R4" s="193"/>
    </row>
    <row r="5" spans="1:18" s="4" customFormat="1" ht="14.25" customHeight="1" x14ac:dyDescent="0.3">
      <c r="A5" s="1" t="s">
        <v>21</v>
      </c>
      <c r="B5" s="1" t="s">
        <v>22</v>
      </c>
      <c r="C5" s="1"/>
      <c r="D5"/>
      <c r="E5" s="215"/>
      <c r="F5" s="215"/>
      <c r="G5" s="215"/>
      <c r="H5" s="130"/>
      <c r="I5" s="130"/>
      <c r="J5" s="24"/>
      <c r="K5" s="24"/>
      <c r="R5" s="193"/>
    </row>
    <row r="6" spans="1:18" x14ac:dyDescent="0.25">
      <c r="A6" s="91"/>
      <c r="B6" s="91"/>
      <c r="C6" s="13">
        <f>A6-B6</f>
        <v>0</v>
      </c>
      <c r="D6" s="21" t="s">
        <v>23</v>
      </c>
      <c r="E6" s="250" t="s">
        <v>323</v>
      </c>
      <c r="F6" s="251"/>
      <c r="G6" s="11">
        <f>B17*70</f>
        <v>0</v>
      </c>
      <c r="H6" s="130"/>
      <c r="I6" s="215"/>
      <c r="R6" s="193"/>
    </row>
    <row r="7" spans="1:18" x14ac:dyDescent="0.25">
      <c r="A7" s="12" t="s">
        <v>24</v>
      </c>
      <c r="C7" s="11" t="e">
        <f>C6/A8*100</f>
        <v>#DIV/0!</v>
      </c>
      <c r="D7" s="37" t="s">
        <v>25</v>
      </c>
      <c r="E7" s="250" t="s">
        <v>339</v>
      </c>
      <c r="F7" s="251"/>
      <c r="G7" s="11"/>
      <c r="I7" s="215"/>
      <c r="R7" s="193"/>
    </row>
    <row r="8" spans="1:18" x14ac:dyDescent="0.25">
      <c r="A8" s="91"/>
      <c r="C8" s="16" t="e">
        <f>IF(C7&gt;2,"Curtain drain acceptable","Perimeter Drain Surrounding")</f>
        <v>#DIV/0!</v>
      </c>
      <c r="D8" s="16"/>
      <c r="E8" s="250" t="s">
        <v>336</v>
      </c>
      <c r="F8" s="251"/>
      <c r="G8" s="91"/>
      <c r="I8" s="215"/>
      <c r="R8" s="193"/>
    </row>
    <row r="9" spans="1:18" x14ac:dyDescent="0.25">
      <c r="C9" t="e">
        <f>IF(C7&gt;=0.5,"Design for a sloping site.","Design for a level site.")</f>
        <v>#DIV/0!</v>
      </c>
      <c r="E9" s="250" t="s">
        <v>335</v>
      </c>
      <c r="F9" s="251"/>
      <c r="G9" s="91"/>
      <c r="H9" s="230" t="s">
        <v>337</v>
      </c>
      <c r="I9" s="215"/>
      <c r="R9" s="193"/>
    </row>
    <row r="10" spans="1:18" ht="13.8" x14ac:dyDescent="0.25">
      <c r="A10" s="194" t="e">
        <f>IF(C7&gt;=15,"Slope Unacceptable for Subsurface System","Slope Acceptable for Subsurface System")</f>
        <v>#DIV/0!</v>
      </c>
      <c r="E10" s="250" t="s">
        <v>334</v>
      </c>
      <c r="F10" s="251"/>
      <c r="G10" s="91"/>
      <c r="H10" s="230" t="s">
        <v>338</v>
      </c>
      <c r="I10" s="215"/>
      <c r="R10" s="21"/>
    </row>
    <row r="11" spans="1:18" x14ac:dyDescent="0.25">
      <c r="A11" t="s">
        <v>31</v>
      </c>
      <c r="B11" s="8"/>
      <c r="C11" s="91"/>
      <c r="H11" s="215"/>
      <c r="I11" s="215"/>
    </row>
    <row r="12" spans="1:18" ht="15" x14ac:dyDescent="0.25">
      <c r="A12" s="17" t="s">
        <v>33</v>
      </c>
      <c r="B12" s="38"/>
      <c r="C12" s="91"/>
      <c r="D12" s="195"/>
      <c r="I12" s="215"/>
    </row>
    <row r="13" spans="1:18" x14ac:dyDescent="0.25">
      <c r="A13" s="1" t="s">
        <v>32</v>
      </c>
      <c r="B13" s="40"/>
      <c r="C13" s="21"/>
      <c r="D13" s="21"/>
      <c r="H13" s="217"/>
      <c r="I13" s="215"/>
    </row>
    <row r="14" spans="1:18" x14ac:dyDescent="0.25">
      <c r="A14" s="17" t="s">
        <v>34</v>
      </c>
      <c r="C14" s="91"/>
      <c r="E14" s="252" t="s">
        <v>340</v>
      </c>
      <c r="F14" s="253"/>
      <c r="G14" s="91"/>
    </row>
    <row r="15" spans="1:18" x14ac:dyDescent="0.25">
      <c r="A15" t="s">
        <v>49</v>
      </c>
      <c r="C15" s="91"/>
      <c r="E15" s="248" t="s">
        <v>341</v>
      </c>
      <c r="F15" s="249"/>
      <c r="G15" s="91"/>
      <c r="I15" s="102"/>
    </row>
    <row r="16" spans="1:18" x14ac:dyDescent="0.25">
      <c r="A16" s="14" t="s">
        <v>28</v>
      </c>
      <c r="B16" s="91"/>
      <c r="E16" s="248" t="s">
        <v>330</v>
      </c>
      <c r="F16" s="249"/>
      <c r="G16" s="91">
        <f>G15*G14</f>
        <v>0</v>
      </c>
      <c r="I16" s="102"/>
    </row>
    <row r="17" spans="1:15" x14ac:dyDescent="0.25">
      <c r="A17" s="18" t="s">
        <v>29</v>
      </c>
      <c r="B17" s="91"/>
      <c r="E17" s="221"/>
      <c r="F17" s="102"/>
      <c r="G17" s="102"/>
      <c r="I17" s="102"/>
    </row>
    <row r="18" spans="1:15" x14ac:dyDescent="0.25">
      <c r="H18" s="102"/>
      <c r="I18" s="102"/>
    </row>
    <row r="19" spans="1:15" x14ac:dyDescent="0.25">
      <c r="H19" s="219"/>
      <c r="I19" s="220"/>
    </row>
    <row r="20" spans="1:15" x14ac:dyDescent="0.25">
      <c r="A20" s="25" t="s">
        <v>4</v>
      </c>
      <c r="B20" s="25"/>
      <c r="C20" s="2"/>
      <c r="D20" s="2"/>
      <c r="H20" s="102"/>
      <c r="I20" s="102"/>
    </row>
    <row r="21" spans="1:15" ht="15" customHeight="1" x14ac:dyDescent="0.25">
      <c r="A21" s="26" t="s">
        <v>2</v>
      </c>
      <c r="B21" s="12" t="s">
        <v>3</v>
      </c>
      <c r="E21" s="222"/>
      <c r="F21" s="102"/>
      <c r="G21" s="102"/>
      <c r="H21" s="102"/>
      <c r="I21" s="102"/>
    </row>
    <row r="22" spans="1:15" ht="15" customHeight="1" x14ac:dyDescent="0.25">
      <c r="A22" s="91"/>
      <c r="B22" s="91"/>
      <c r="E22" s="14"/>
      <c r="F22" s="152" t="s">
        <v>223</v>
      </c>
      <c r="G22" s="181">
        <f>B17*150</f>
        <v>0</v>
      </c>
      <c r="H22" s="34" t="s">
        <v>8</v>
      </c>
      <c r="I22" s="34"/>
    </row>
    <row r="23" spans="1:15" ht="15" customHeight="1" x14ac:dyDescent="0.25">
      <c r="A23" s="175">
        <f>A22*B22/144</f>
        <v>0</v>
      </c>
      <c r="B23" s="14" t="s">
        <v>1</v>
      </c>
      <c r="C23" s="14"/>
      <c r="E23" s="12" t="s">
        <v>11</v>
      </c>
      <c r="F23" s="12" t="s">
        <v>10</v>
      </c>
      <c r="G23" s="181">
        <f>E24/12*0.5*E24/12*0.5*F24*3.14*7.48</f>
        <v>0</v>
      </c>
      <c r="H23" s="34" t="s">
        <v>13</v>
      </c>
      <c r="I23" s="30"/>
    </row>
    <row r="24" spans="1:15" x14ac:dyDescent="0.25">
      <c r="A24" s="176">
        <f>A23*7.48</f>
        <v>0</v>
      </c>
      <c r="B24" s="14" t="s">
        <v>5</v>
      </c>
      <c r="C24" s="14"/>
      <c r="E24" s="91"/>
      <c r="F24" s="92"/>
      <c r="G24" s="181">
        <f>(G22/3)+G23</f>
        <v>0</v>
      </c>
      <c r="H24" s="174" t="s">
        <v>6</v>
      </c>
      <c r="I24" s="11"/>
    </row>
    <row r="25" spans="1:15" s="17" customFormat="1" ht="13.8" x14ac:dyDescent="0.25">
      <c r="A25"/>
      <c r="B25"/>
      <c r="C25"/>
      <c r="D25"/>
      <c r="E25"/>
      <c r="F25"/>
      <c r="G25" s="157" t="e">
        <f>G24/A24</f>
        <v>#DIV/0!</v>
      </c>
      <c r="H25" s="11" t="s">
        <v>12</v>
      </c>
      <c r="I25" s="11"/>
      <c r="L25" s="189" t="s">
        <v>228</v>
      </c>
      <c r="M25" s="189" t="s">
        <v>229</v>
      </c>
      <c r="N25" s="190" t="s">
        <v>230</v>
      </c>
      <c r="O25" s="189" t="s">
        <v>241</v>
      </c>
    </row>
    <row r="26" spans="1:15" s="17" customFormat="1" x14ac:dyDescent="0.25">
      <c r="A26"/>
      <c r="B26" s="2"/>
      <c r="C26" s="12" t="s">
        <v>16</v>
      </c>
      <c r="D26" s="12" t="s">
        <v>17</v>
      </c>
      <c r="E26" s="12" t="s">
        <v>213</v>
      </c>
      <c r="F26"/>
      <c r="G26" s="157">
        <f>E27-D27</f>
        <v>0</v>
      </c>
      <c r="H26" s="182" t="s">
        <v>226</v>
      </c>
      <c r="I26" s="11"/>
      <c r="L26" s="185" t="s">
        <v>239</v>
      </c>
      <c r="M26" s="185">
        <v>1000</v>
      </c>
      <c r="N26" s="185">
        <v>315.77</v>
      </c>
      <c r="O26" s="185" t="s">
        <v>253</v>
      </c>
    </row>
    <row r="27" spans="1:15" s="17" customFormat="1" x14ac:dyDescent="0.25">
      <c r="A27" s="35" t="s">
        <v>15</v>
      </c>
      <c r="B27" s="14"/>
      <c r="C27" s="91"/>
      <c r="D27" s="91"/>
      <c r="E27" s="91"/>
      <c r="F27"/>
      <c r="G27" t="s">
        <v>345</v>
      </c>
      <c r="H27"/>
      <c r="I27"/>
      <c r="L27" s="185" t="s">
        <v>231</v>
      </c>
      <c r="M27" s="185">
        <v>1000</v>
      </c>
      <c r="N27" s="185">
        <v>259.31</v>
      </c>
      <c r="O27" s="185" t="s">
        <v>248</v>
      </c>
    </row>
    <row r="28" spans="1:15" s="17" customFormat="1" x14ac:dyDescent="0.25">
      <c r="A28" s="172" t="s">
        <v>14</v>
      </c>
      <c r="B28" s="28"/>
      <c r="C28" s="157">
        <f>C27-D27</f>
        <v>0</v>
      </c>
      <c r="D28" s="34" t="s">
        <v>19</v>
      </c>
      <c r="E28"/>
      <c r="F28"/>
      <c r="G28"/>
      <c r="H28"/>
      <c r="I28"/>
      <c r="L28" s="185" t="s">
        <v>231</v>
      </c>
      <c r="M28" s="185">
        <v>1250</v>
      </c>
      <c r="N28" s="185">
        <v>299.2</v>
      </c>
      <c r="O28" s="185" t="s">
        <v>242</v>
      </c>
    </row>
    <row r="29" spans="1:15" s="17" customFormat="1" x14ac:dyDescent="0.25">
      <c r="A29" s="172" t="s">
        <v>222</v>
      </c>
      <c r="B29" s="28"/>
      <c r="C29" s="157" t="e">
        <f>(10.434*F24*H29^1.85)/(150^1.85*E24^4.8655)</f>
        <v>#DIV/0!</v>
      </c>
      <c r="D29" s="34" t="s">
        <v>19</v>
      </c>
      <c r="E29"/>
      <c r="F29" s="14"/>
      <c r="G29" s="152" t="s">
        <v>207</v>
      </c>
      <c r="H29" s="155">
        <f>((G24/20)+(G24/10))/2</f>
        <v>0</v>
      </c>
      <c r="I29" s="83" t="s">
        <v>74</v>
      </c>
      <c r="L29" s="185" t="s">
        <v>227</v>
      </c>
      <c r="M29" s="185">
        <v>1100</v>
      </c>
      <c r="N29" s="185">
        <v>336.6</v>
      </c>
      <c r="O29" s="185" t="s">
        <v>243</v>
      </c>
    </row>
    <row r="30" spans="1:15" s="17" customFormat="1" x14ac:dyDescent="0.25">
      <c r="A30" s="173" t="s">
        <v>20</v>
      </c>
      <c r="B30" s="28"/>
      <c r="C30" s="157" t="e">
        <f>C28+C29</f>
        <v>#DIV/0!</v>
      </c>
      <c r="D30" s="34" t="s">
        <v>19</v>
      </c>
      <c r="L30" s="185" t="s">
        <v>227</v>
      </c>
      <c r="M30" s="185">
        <v>1250</v>
      </c>
      <c r="N30" s="185">
        <v>336.6</v>
      </c>
      <c r="O30" s="185" t="s">
        <v>243</v>
      </c>
    </row>
    <row r="31" spans="1:15" s="17" customFormat="1" x14ac:dyDescent="0.25">
      <c r="A31" s="159" t="e">
        <f>IF(C29&gt;7,"Friction Loss is too high","Friction Loss is acctable")</f>
        <v>#DIV/0!</v>
      </c>
      <c r="B31"/>
      <c r="C31"/>
      <c r="D31"/>
      <c r="J31" s="80"/>
      <c r="K31" s="80"/>
      <c r="L31" s="185" t="s">
        <v>236</v>
      </c>
      <c r="M31" s="185">
        <v>1000</v>
      </c>
      <c r="N31" s="185">
        <v>293.07</v>
      </c>
      <c r="O31" s="185" t="s">
        <v>249</v>
      </c>
    </row>
    <row r="32" spans="1:15" s="17" customFormat="1" x14ac:dyDescent="0.25">
      <c r="A32" s="17" t="s">
        <v>291</v>
      </c>
      <c r="E32" s="226"/>
      <c r="F32" s="17" t="s">
        <v>280</v>
      </c>
      <c r="G32"/>
      <c r="H32"/>
      <c r="I32" s="162"/>
      <c r="L32" s="185" t="s">
        <v>240</v>
      </c>
      <c r="M32" s="185">
        <v>1000</v>
      </c>
      <c r="N32" s="185">
        <v>233.75</v>
      </c>
      <c r="O32" s="185" t="s">
        <v>244</v>
      </c>
    </row>
    <row r="33" spans="1:15" s="17" customFormat="1" x14ac:dyDescent="0.25">
      <c r="A33" s="17" t="s">
        <v>52</v>
      </c>
      <c r="E33" s="202"/>
      <c r="F33" s="17" t="s">
        <v>281</v>
      </c>
      <c r="G33"/>
      <c r="H33"/>
      <c r="I33" s="162"/>
      <c r="L33" s="196" t="s">
        <v>271</v>
      </c>
      <c r="M33" s="196">
        <v>1000</v>
      </c>
      <c r="N33" s="196">
        <v>386.04</v>
      </c>
      <c r="O33" s="196" t="s">
        <v>263</v>
      </c>
    </row>
    <row r="34" spans="1:15" s="17" customFormat="1" x14ac:dyDescent="0.25">
      <c r="A34" s="17" t="s">
        <v>278</v>
      </c>
      <c r="E34" s="202"/>
      <c r="F34" s="17" t="s">
        <v>274</v>
      </c>
      <c r="I34" s="153"/>
      <c r="L34" s="196" t="s">
        <v>262</v>
      </c>
      <c r="M34" s="196">
        <v>1000</v>
      </c>
      <c r="N34" s="196">
        <v>300</v>
      </c>
      <c r="O34" s="196" t="s">
        <v>263</v>
      </c>
    </row>
    <row r="35" spans="1:15" x14ac:dyDescent="0.25">
      <c r="A35" s="17" t="s">
        <v>173</v>
      </c>
      <c r="B35" s="17"/>
      <c r="C35" s="17"/>
      <c r="D35" s="17"/>
      <c r="E35" s="202"/>
      <c r="F35" s="17" t="s">
        <v>328</v>
      </c>
      <c r="G35" s="17"/>
      <c r="H35" s="17"/>
      <c r="I35" s="224"/>
      <c r="L35" s="196" t="s">
        <v>262</v>
      </c>
      <c r="M35" s="196">
        <v>1250</v>
      </c>
      <c r="N35" s="185">
        <v>267.60000000000002</v>
      </c>
      <c r="O35" s="196"/>
    </row>
    <row r="36" spans="1:15" x14ac:dyDescent="0.25">
      <c r="A36" s="17" t="s">
        <v>174</v>
      </c>
      <c r="B36" s="17"/>
      <c r="C36" s="17"/>
      <c r="D36" s="17"/>
      <c r="E36" s="202"/>
      <c r="F36" s="17" t="s">
        <v>327</v>
      </c>
      <c r="G36" s="17"/>
      <c r="H36" s="17"/>
      <c r="I36" s="153"/>
      <c r="L36" s="185" t="s">
        <v>234</v>
      </c>
      <c r="M36" s="185">
        <v>1000</v>
      </c>
      <c r="N36" s="185">
        <v>254.52</v>
      </c>
      <c r="O36" s="185" t="s">
        <v>251</v>
      </c>
    </row>
    <row r="37" spans="1:15" x14ac:dyDescent="0.25">
      <c r="A37" s="17" t="s">
        <v>206</v>
      </c>
      <c r="B37" s="17"/>
      <c r="C37" s="17"/>
      <c r="D37" s="17"/>
      <c r="E37" s="202"/>
      <c r="F37" s="17" t="s">
        <v>343</v>
      </c>
      <c r="I37" s="224"/>
      <c r="L37" s="185" t="s">
        <v>234</v>
      </c>
      <c r="M37" s="185">
        <v>1250</v>
      </c>
      <c r="N37" s="185">
        <v>309.07</v>
      </c>
      <c r="O37" s="185" t="s">
        <v>250</v>
      </c>
    </row>
    <row r="38" spans="1:15" x14ac:dyDescent="0.25">
      <c r="A38" s="17" t="s">
        <v>285</v>
      </c>
      <c r="B38" s="17" t="s">
        <v>149</v>
      </c>
      <c r="D38" s="17" t="s">
        <v>150</v>
      </c>
      <c r="E38" s="202"/>
      <c r="F38" s="17" t="s">
        <v>342</v>
      </c>
      <c r="I38" s="224"/>
      <c r="L38" s="185" t="s">
        <v>232</v>
      </c>
      <c r="M38" s="185">
        <v>1000</v>
      </c>
      <c r="N38" s="185">
        <v>262.83999999999997</v>
      </c>
      <c r="O38" s="185" t="s">
        <v>247</v>
      </c>
    </row>
    <row r="39" spans="1:15" x14ac:dyDescent="0.25">
      <c r="A39" s="17" t="s">
        <v>284</v>
      </c>
      <c r="B39" s="17" t="s">
        <v>277</v>
      </c>
      <c r="C39" s="17"/>
      <c r="D39" s="17"/>
      <c r="E39" s="202"/>
      <c r="F39" s="17" t="s">
        <v>258</v>
      </c>
      <c r="H39" s="17" t="s">
        <v>259</v>
      </c>
      <c r="I39" s="224"/>
      <c r="L39" s="185" t="s">
        <v>232</v>
      </c>
      <c r="M39" s="185">
        <v>1250</v>
      </c>
      <c r="N39" s="185">
        <v>299.2</v>
      </c>
      <c r="O39" s="185" t="s">
        <v>242</v>
      </c>
    </row>
    <row r="40" spans="1:15" x14ac:dyDescent="0.25">
      <c r="A40" s="17" t="s">
        <v>40</v>
      </c>
      <c r="E40" s="202"/>
      <c r="F40" s="17" t="s">
        <v>257</v>
      </c>
      <c r="G40" s="17"/>
      <c r="H40" s="17"/>
      <c r="I40" s="224"/>
      <c r="L40" s="185" t="s">
        <v>287</v>
      </c>
      <c r="M40" s="185">
        <v>1500</v>
      </c>
      <c r="N40" s="185">
        <v>121.92</v>
      </c>
      <c r="O40" s="185" t="s">
        <v>288</v>
      </c>
    </row>
    <row r="41" spans="1:15" ht="14.4" x14ac:dyDescent="0.3">
      <c r="A41" s="17" t="s">
        <v>183</v>
      </c>
      <c r="E41" s="202"/>
      <c r="F41" s="17" t="s">
        <v>272</v>
      </c>
      <c r="G41" s="17"/>
      <c r="I41" s="225">
        <f>C12-30</f>
        <v>-30</v>
      </c>
      <c r="L41" s="185" t="s">
        <v>287</v>
      </c>
      <c r="M41" s="185">
        <v>2000</v>
      </c>
      <c r="N41" s="185">
        <v>116.76</v>
      </c>
      <c r="O41" s="185"/>
    </row>
    <row r="42" spans="1:15" x14ac:dyDescent="0.25">
      <c r="A42" s="17" t="s">
        <v>51</v>
      </c>
      <c r="E42" s="202"/>
      <c r="F42" s="17" t="s">
        <v>273</v>
      </c>
      <c r="G42" s="17"/>
      <c r="I42" s="225">
        <f>C12-24</f>
        <v>-24</v>
      </c>
      <c r="L42" s="188" t="s">
        <v>233</v>
      </c>
      <c r="M42" s="185">
        <v>1000</v>
      </c>
      <c r="N42" s="185">
        <v>313.23</v>
      </c>
      <c r="O42" s="188"/>
    </row>
    <row r="43" spans="1:15" x14ac:dyDescent="0.25">
      <c r="A43" s="17" t="s">
        <v>350</v>
      </c>
      <c r="F43" s="17" t="s">
        <v>175</v>
      </c>
      <c r="G43" s="17"/>
      <c r="I43" s="224"/>
      <c r="L43" s="188" t="s">
        <v>237</v>
      </c>
      <c r="M43" s="187">
        <v>1000</v>
      </c>
      <c r="N43" s="191">
        <v>392.7</v>
      </c>
      <c r="O43" s="188" t="s">
        <v>252</v>
      </c>
    </row>
    <row r="44" spans="1:15" x14ac:dyDescent="0.25">
      <c r="A44" s="17" t="s">
        <v>344</v>
      </c>
      <c r="F44" s="17" t="s">
        <v>286</v>
      </c>
      <c r="G44" s="80"/>
      <c r="H44" s="80"/>
      <c r="I44" s="224"/>
      <c r="L44" s="186" t="s">
        <v>238</v>
      </c>
      <c r="M44" s="187">
        <v>1250</v>
      </c>
      <c r="N44" s="191">
        <v>392.7</v>
      </c>
      <c r="O44" s="186"/>
    </row>
    <row r="45" spans="1:15" x14ac:dyDescent="0.25">
      <c r="A45" s="17" t="s">
        <v>326</v>
      </c>
      <c r="F45" s="17" t="s">
        <v>197</v>
      </c>
      <c r="G45" s="40"/>
      <c r="H45" s="40"/>
      <c r="I45" s="224"/>
      <c r="L45" s="186" t="s">
        <v>235</v>
      </c>
      <c r="M45" s="185">
        <v>1000</v>
      </c>
      <c r="N45" s="185">
        <v>265.7</v>
      </c>
      <c r="O45" s="186" t="s">
        <v>245</v>
      </c>
    </row>
    <row r="46" spans="1:15" x14ac:dyDescent="0.25">
      <c r="A46" s="17" t="s">
        <v>254</v>
      </c>
      <c r="F46" s="17" t="s">
        <v>198</v>
      </c>
      <c r="G46" s="40"/>
      <c r="H46" s="40"/>
      <c r="I46" s="224"/>
      <c r="L46" s="185" t="s">
        <v>235</v>
      </c>
      <c r="M46" s="185">
        <v>1250</v>
      </c>
      <c r="N46" s="185">
        <v>317.89999999999998</v>
      </c>
      <c r="O46" s="185" t="s">
        <v>246</v>
      </c>
    </row>
    <row r="47" spans="1:15" x14ac:dyDescent="0.25">
      <c r="A47" s="17" t="s">
        <v>260</v>
      </c>
      <c r="B47" s="17"/>
      <c r="C47" s="17"/>
      <c r="D47" s="17"/>
      <c r="E47" s="17"/>
      <c r="F47" s="17" t="s">
        <v>348</v>
      </c>
      <c r="L47" s="17"/>
      <c r="M47" s="17"/>
    </row>
    <row r="48" spans="1:15" x14ac:dyDescent="0.25">
      <c r="F48" s="17" t="s">
        <v>351</v>
      </c>
      <c r="L48" s="17"/>
      <c r="M48" s="17"/>
    </row>
    <row r="49" spans="1:13" x14ac:dyDescent="0.25">
      <c r="A49" s="137" t="s">
        <v>48</v>
      </c>
    </row>
    <row r="50" spans="1:13" x14ac:dyDescent="0.25">
      <c r="F50" s="17"/>
      <c r="L50" s="17"/>
      <c r="M50" s="17"/>
    </row>
    <row r="51" spans="1:13" x14ac:dyDescent="0.25">
      <c r="L51" s="17"/>
      <c r="M51" s="17"/>
    </row>
    <row r="53" spans="1:13" x14ac:dyDescent="0.25">
      <c r="B53" s="17"/>
      <c r="D53" s="17"/>
      <c r="E53" s="17"/>
    </row>
    <row r="54" spans="1:13" x14ac:dyDescent="0.25">
      <c r="B54" s="17"/>
      <c r="C54" s="17"/>
      <c r="D54" s="17"/>
      <c r="E54" s="17"/>
    </row>
    <row r="55" spans="1:13" x14ac:dyDescent="0.25">
      <c r="B55" s="17"/>
      <c r="C55" s="17"/>
      <c r="D55" s="17"/>
      <c r="E55" s="17"/>
    </row>
    <row r="56" spans="1:13" x14ac:dyDescent="0.25">
      <c r="B56" s="17"/>
      <c r="C56" s="17"/>
      <c r="D56" s="17"/>
      <c r="E56" s="17"/>
    </row>
    <row r="57" spans="1:13" x14ac:dyDescent="0.25">
      <c r="B57" s="17"/>
      <c r="C57" s="17"/>
      <c r="D57" s="17"/>
      <c r="E57" s="17"/>
    </row>
  </sheetData>
  <mergeCells count="10">
    <mergeCell ref="A1:J1"/>
    <mergeCell ref="F2:G2"/>
    <mergeCell ref="E7:F7"/>
    <mergeCell ref="E14:F14"/>
    <mergeCell ref="E15:F15"/>
    <mergeCell ref="E16:F16"/>
    <mergeCell ref="E6:F6"/>
    <mergeCell ref="E10:F10"/>
    <mergeCell ref="E8:F8"/>
    <mergeCell ref="E9:F9"/>
  </mergeCells>
  <phoneticPr fontId="12" type="noConversion"/>
  <pageMargins left="0.35" right="0.25" top="0.75" bottom="0.75" header="0.3" footer="0.3"/>
  <pageSetup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P56"/>
  <sheetViews>
    <sheetView zoomScale="125" zoomScaleNormal="100" workbookViewId="0">
      <selection activeCell="C2" sqref="C2"/>
    </sheetView>
  </sheetViews>
  <sheetFormatPr defaultRowHeight="13.2" x14ac:dyDescent="0.25"/>
  <cols>
    <col min="1" max="6" width="9.33203125" bestFit="1" customWidth="1"/>
    <col min="7" max="7" width="10.88671875" bestFit="1" customWidth="1"/>
    <col min="8" max="8" width="9.33203125" bestFit="1" customWidth="1"/>
    <col min="9" max="9" width="12.44140625" customWidth="1"/>
    <col min="13" max="13" width="9.33203125" bestFit="1" customWidth="1"/>
  </cols>
  <sheetData>
    <row r="1" spans="1:16" ht="17.399999999999999" x14ac:dyDescent="0.3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6" ht="13.8" thickBot="1" x14ac:dyDescent="0.3">
      <c r="A2" s="121" t="s">
        <v>26</v>
      </c>
      <c r="B2" s="122"/>
      <c r="C2" s="192"/>
      <c r="D2" s="123"/>
      <c r="E2" s="120" t="s">
        <v>27</v>
      </c>
      <c r="F2" s="123"/>
      <c r="G2" s="123"/>
      <c r="H2" s="120" t="s">
        <v>156</v>
      </c>
      <c r="I2" s="123"/>
      <c r="J2" s="124"/>
    </row>
    <row r="3" spans="1:16" x14ac:dyDescent="0.25">
      <c r="A3" s="160"/>
      <c r="B3" s="107"/>
      <c r="C3" s="161"/>
      <c r="D3" s="21"/>
      <c r="E3" s="21"/>
      <c r="J3" s="9"/>
      <c r="K3" s="125"/>
    </row>
    <row r="4" spans="1:16" hidden="1" x14ac:dyDescent="0.25">
      <c r="A4" s="40"/>
      <c r="B4" s="2"/>
      <c r="C4" s="2"/>
      <c r="F4" s="164"/>
      <c r="H4" s="165"/>
      <c r="I4" s="166"/>
    </row>
    <row r="5" spans="1:16" ht="13.5" customHeight="1" x14ac:dyDescent="0.25">
      <c r="A5" s="17" t="s">
        <v>103</v>
      </c>
      <c r="B5" s="66"/>
      <c r="C5" s="11" t="e">
        <f>M8</f>
        <v>#DIV/0!</v>
      </c>
      <c r="D5" t="s">
        <v>216</v>
      </c>
      <c r="F5" s="163" t="s">
        <v>218</v>
      </c>
      <c r="H5" s="169"/>
      <c r="I5" s="170"/>
    </row>
    <row r="6" spans="1:16" x14ac:dyDescent="0.25">
      <c r="A6" s="66" t="s">
        <v>53</v>
      </c>
      <c r="B6" s="66"/>
      <c r="C6" s="44"/>
      <c r="F6" s="163" t="s">
        <v>219</v>
      </c>
      <c r="H6" s="165"/>
      <c r="I6" s="166"/>
      <c r="K6" s="1" t="s">
        <v>21</v>
      </c>
      <c r="L6" s="1" t="s">
        <v>22</v>
      </c>
      <c r="M6" s="1"/>
    </row>
    <row r="7" spans="1:16" x14ac:dyDescent="0.25">
      <c r="A7" s="17" t="s">
        <v>54</v>
      </c>
      <c r="B7" s="17"/>
      <c r="C7" s="46">
        <f>C6*150</f>
        <v>0</v>
      </c>
      <c r="D7" s="71" t="s">
        <v>55</v>
      </c>
      <c r="F7" s="163" t="s">
        <v>220</v>
      </c>
      <c r="H7" s="169"/>
      <c r="I7" s="170"/>
      <c r="K7" s="91"/>
      <c r="L7" s="91"/>
      <c r="M7" s="13">
        <f>K7-L7</f>
        <v>0</v>
      </c>
      <c r="N7" s="21" t="s">
        <v>23</v>
      </c>
    </row>
    <row r="8" spans="1:16" x14ac:dyDescent="0.25">
      <c r="A8" s="17" t="s">
        <v>56</v>
      </c>
      <c r="B8" s="17"/>
      <c r="C8" s="45">
        <v>1.2</v>
      </c>
      <c r="F8" s="163" t="s">
        <v>221</v>
      </c>
      <c r="H8" s="167"/>
      <c r="I8" s="168"/>
      <c r="K8" s="12" t="s">
        <v>24</v>
      </c>
      <c r="M8" s="11" t="e">
        <f>M7/K9*100</f>
        <v>#DIV/0!</v>
      </c>
      <c r="N8" s="37" t="s">
        <v>25</v>
      </c>
    </row>
    <row r="9" spans="1:16" x14ac:dyDescent="0.25">
      <c r="A9" s="17" t="s">
        <v>59</v>
      </c>
      <c r="B9" s="17"/>
      <c r="C9" s="47"/>
      <c r="F9" s="17" t="s">
        <v>57</v>
      </c>
      <c r="G9" s="17"/>
      <c r="H9" s="49">
        <f>C6*150/C8</f>
        <v>0</v>
      </c>
      <c r="I9" s="75" t="s">
        <v>58</v>
      </c>
      <c r="K9" s="91"/>
      <c r="M9" s="16" t="e">
        <f>IF(M8&gt;2,"Curtain drain acceptable","Perimeter Drain Surrounding")</f>
        <v>#DIV/0!</v>
      </c>
      <c r="N9" s="16"/>
    </row>
    <row r="10" spans="1:16" x14ac:dyDescent="0.25">
      <c r="A10" s="17" t="s">
        <v>61</v>
      </c>
      <c r="B10" s="17"/>
      <c r="C10" s="48"/>
      <c r="D10" s="93" t="s">
        <v>62</v>
      </c>
      <c r="F10" s="17" t="s">
        <v>60</v>
      </c>
      <c r="G10" s="17"/>
      <c r="H10" s="49" t="e">
        <f>C7/C9</f>
        <v>#DIV/0!</v>
      </c>
      <c r="I10" s="71" t="s">
        <v>58</v>
      </c>
    </row>
    <row r="11" spans="1:16" x14ac:dyDescent="0.25">
      <c r="A11" s="17" t="s">
        <v>63</v>
      </c>
      <c r="B11" s="17"/>
      <c r="C11" s="48"/>
      <c r="D11" s="171" t="s">
        <v>89</v>
      </c>
      <c r="F11" s="259" t="s">
        <v>97</v>
      </c>
      <c r="G11" s="259"/>
      <c r="H11" s="258" t="s">
        <v>102</v>
      </c>
      <c r="I11" s="258"/>
    </row>
    <row r="12" spans="1:16" x14ac:dyDescent="0.25">
      <c r="A12" s="17" t="s">
        <v>64</v>
      </c>
      <c r="B12" s="17"/>
      <c r="C12" s="46">
        <f>C13-C14</f>
        <v>0</v>
      </c>
      <c r="D12" s="83" t="s">
        <v>62</v>
      </c>
      <c r="F12" s="14">
        <f>SQRT(C7*C9/3)*0.83</f>
        <v>0</v>
      </c>
      <c r="H12" s="14" t="e">
        <f>H9/F12</f>
        <v>#DIV/0!</v>
      </c>
      <c r="K12" s="21"/>
      <c r="L12" s="21"/>
      <c r="M12" s="21"/>
      <c r="N12" s="21"/>
      <c r="O12" s="21"/>
      <c r="P12" s="21"/>
    </row>
    <row r="13" spans="1:16" x14ac:dyDescent="0.25">
      <c r="A13" s="17" t="s">
        <v>210</v>
      </c>
      <c r="C13" s="142"/>
      <c r="E13" s="260" t="s">
        <v>95</v>
      </c>
      <c r="F13" s="260"/>
      <c r="G13" s="260"/>
      <c r="H13" s="48"/>
      <c r="I13" s="10" t="s">
        <v>62</v>
      </c>
      <c r="K13" s="21"/>
      <c r="L13" s="21"/>
      <c r="M13" s="21"/>
      <c r="N13" s="21"/>
      <c r="O13" s="21"/>
      <c r="P13" s="21"/>
    </row>
    <row r="14" spans="1:16" x14ac:dyDescent="0.25">
      <c r="A14" s="17" t="s">
        <v>211</v>
      </c>
      <c r="B14" s="52"/>
      <c r="C14" s="10"/>
      <c r="E14" s="260" t="s">
        <v>96</v>
      </c>
      <c r="F14" s="260"/>
      <c r="G14" s="260"/>
      <c r="H14" s="48"/>
      <c r="I14" s="10" t="s">
        <v>62</v>
      </c>
      <c r="K14" s="21"/>
      <c r="L14" s="21"/>
      <c r="M14" s="21"/>
      <c r="N14" s="21"/>
      <c r="O14" s="21"/>
      <c r="P14" s="21"/>
    </row>
    <row r="15" spans="1:16" x14ac:dyDescent="0.25">
      <c r="A15" s="158" t="s">
        <v>65</v>
      </c>
      <c r="B15" s="59"/>
      <c r="C15" s="59"/>
      <c r="D15" s="33"/>
      <c r="E15" s="255" t="s">
        <v>209</v>
      </c>
      <c r="F15" s="256"/>
      <c r="G15" s="256"/>
      <c r="H15" s="46">
        <f>H13*H14</f>
        <v>0</v>
      </c>
      <c r="I15" s="71" t="s">
        <v>58</v>
      </c>
      <c r="K15" s="21"/>
      <c r="L15" s="69"/>
      <c r="M15" s="21"/>
      <c r="N15" s="21"/>
      <c r="O15" s="21"/>
      <c r="P15" s="21"/>
    </row>
    <row r="16" spans="1:16" x14ac:dyDescent="0.25">
      <c r="A16" s="68" t="s">
        <v>67</v>
      </c>
      <c r="B16" s="69"/>
      <c r="C16" s="131" t="e">
        <f>ROUND(H10/H14,0)</f>
        <v>#DIV/0!</v>
      </c>
      <c r="D16" s="75" t="s">
        <v>62</v>
      </c>
      <c r="M16" s="22"/>
      <c r="P16" s="21"/>
    </row>
    <row r="17" spans="1:16" x14ac:dyDescent="0.25">
      <c r="A17" s="67" t="s">
        <v>68</v>
      </c>
      <c r="B17" s="73" t="e">
        <f>C16-H13</f>
        <v>#DIV/0!</v>
      </c>
      <c r="C17" s="71" t="s">
        <v>62</v>
      </c>
      <c r="D17" s="54"/>
      <c r="F17" s="158" t="s">
        <v>66</v>
      </c>
      <c r="G17" s="59"/>
      <c r="H17" s="59"/>
      <c r="I17" s="33"/>
      <c r="M17" s="257"/>
      <c r="N17" s="257"/>
      <c r="P17" s="21"/>
    </row>
    <row r="18" spans="1:16" x14ac:dyDescent="0.25">
      <c r="A18" s="60" t="s">
        <v>69</v>
      </c>
      <c r="B18" s="73" t="e">
        <f>B17/2</f>
        <v>#DIV/0!</v>
      </c>
      <c r="C18" s="74" t="s">
        <v>62</v>
      </c>
      <c r="D18" s="55"/>
      <c r="F18" s="265" t="s">
        <v>67</v>
      </c>
      <c r="G18" s="266"/>
      <c r="H18" s="49" t="e">
        <f>H10/H14</f>
        <v>#DIV/0!</v>
      </c>
      <c r="I18" s="75" t="s">
        <v>62</v>
      </c>
      <c r="P18" s="21"/>
    </row>
    <row r="19" spans="1:16" x14ac:dyDescent="0.25">
      <c r="F19" s="60" t="s">
        <v>68</v>
      </c>
      <c r="G19" s="53"/>
      <c r="H19" s="46" t="e">
        <f>H18-H13</f>
        <v>#DIV/0!</v>
      </c>
      <c r="I19" s="75" t="s">
        <v>62</v>
      </c>
    </row>
    <row r="20" spans="1:16" x14ac:dyDescent="0.25">
      <c r="A20" s="56" t="str">
        <f>IF(H14&gt;=50,"Center Feed","End Feed")</f>
        <v>End Feed</v>
      </c>
      <c r="B20" s="57"/>
      <c r="C20" s="58"/>
      <c r="D20" s="52"/>
      <c r="E20" s="21"/>
    </row>
    <row r="21" spans="1:16" x14ac:dyDescent="0.25">
      <c r="A21" s="68" t="s">
        <v>70</v>
      </c>
      <c r="B21" s="69"/>
      <c r="C21" s="69"/>
      <c r="D21" s="46">
        <f>H14-3</f>
        <v>-3</v>
      </c>
      <c r="E21" s="71" t="s">
        <v>62</v>
      </c>
      <c r="G21" s="61" t="s">
        <v>86</v>
      </c>
      <c r="H21" s="62"/>
      <c r="I21" s="119"/>
    </row>
    <row r="22" spans="1:16" x14ac:dyDescent="0.25">
      <c r="A22" s="58" t="s">
        <v>71</v>
      </c>
      <c r="B22" s="11">
        <f>D21/2</f>
        <v>-1.5</v>
      </c>
      <c r="E22" s="51"/>
    </row>
    <row r="23" spans="1:16" x14ac:dyDescent="0.25">
      <c r="A23" s="78" t="s">
        <v>85</v>
      </c>
      <c r="B23" s="79"/>
      <c r="C23" s="46">
        <f>IF(B22&lt;=25,1,IF(B22&lt;=40,1.25,IF(B22&lt;=50,1.5,)))</f>
        <v>1</v>
      </c>
      <c r="D23" s="71" t="s">
        <v>98</v>
      </c>
      <c r="E23" s="53"/>
      <c r="F23" s="63" t="s">
        <v>73</v>
      </c>
      <c r="G23" s="50"/>
      <c r="H23" s="46">
        <f>ROUND(B28*1.28,0)</f>
        <v>0</v>
      </c>
      <c r="I23" s="71" t="s">
        <v>88</v>
      </c>
    </row>
    <row r="24" spans="1:16" x14ac:dyDescent="0.25">
      <c r="A24" s="70"/>
      <c r="B24" s="69"/>
      <c r="C24" s="21"/>
      <c r="F24" s="58" t="s">
        <v>76</v>
      </c>
      <c r="G24" s="52"/>
      <c r="H24" s="64">
        <f>ROUND(H23*I21,-1)</f>
        <v>0</v>
      </c>
      <c r="I24" s="75" t="s">
        <v>74</v>
      </c>
    </row>
    <row r="25" spans="1:16" x14ac:dyDescent="0.25">
      <c r="A25" s="41" t="s">
        <v>72</v>
      </c>
      <c r="B25" s="41"/>
      <c r="C25" s="41"/>
    </row>
    <row r="26" spans="1:16" x14ac:dyDescent="0.25">
      <c r="A26" t="s">
        <v>75</v>
      </c>
      <c r="F26" s="28"/>
      <c r="G26" s="59"/>
      <c r="H26" s="59"/>
      <c r="I26" s="152" t="s">
        <v>208</v>
      </c>
    </row>
    <row r="27" spans="1:16" x14ac:dyDescent="0.25">
      <c r="A27" s="11">
        <f>B22</f>
        <v>-1.5</v>
      </c>
      <c r="B27" s="65">
        <f>(A27-1.5)/3</f>
        <v>-1</v>
      </c>
      <c r="G27" s="157" t="e">
        <f>(10.434*C10*D41^1.85)/(150^1.85*C11^4.8655)</f>
        <v>#DIV/0!</v>
      </c>
      <c r="H27" s="156" t="s">
        <v>62</v>
      </c>
    </row>
    <row r="28" spans="1:16" x14ac:dyDescent="0.25">
      <c r="A28" s="65">
        <f>ROUND(B27,0)</f>
        <v>-1</v>
      </c>
      <c r="B28" s="11">
        <f>A28+1</f>
        <v>0</v>
      </c>
      <c r="C28" t="s">
        <v>87</v>
      </c>
      <c r="G28" s="42" t="e">
        <f>IF(G27&gt;7,"Friction Loss is too high","Friction Loss is acceptable")</f>
        <v>#DIV/0!</v>
      </c>
    </row>
    <row r="30" spans="1:16" x14ac:dyDescent="0.25">
      <c r="A30" s="43" t="s">
        <v>77</v>
      </c>
      <c r="B30" s="43"/>
      <c r="C30" s="43"/>
      <c r="D30" s="43"/>
      <c r="E30" s="43"/>
      <c r="F30" s="43"/>
      <c r="G30" s="43"/>
      <c r="H30" s="43"/>
      <c r="I30" s="43"/>
    </row>
    <row r="31" spans="1:16" x14ac:dyDescent="0.25">
      <c r="A31" t="s">
        <v>78</v>
      </c>
      <c r="D31" s="17" t="s">
        <v>98</v>
      </c>
      <c r="F31" s="10"/>
      <c r="G31" t="s">
        <v>79</v>
      </c>
    </row>
    <row r="32" spans="1:16" x14ac:dyDescent="0.25">
      <c r="F32" s="46">
        <f>H23</f>
        <v>0</v>
      </c>
      <c r="G32" s="71" t="s">
        <v>92</v>
      </c>
    </row>
    <row r="33" spans="1:11" x14ac:dyDescent="0.25">
      <c r="A33" t="s">
        <v>80</v>
      </c>
      <c r="C33" s="73">
        <f>1/4*C7</f>
        <v>0</v>
      </c>
      <c r="D33" s="71" t="s">
        <v>100</v>
      </c>
      <c r="G33" s="263" t="s">
        <v>81</v>
      </c>
      <c r="H33" s="264"/>
      <c r="I33" s="264"/>
    </row>
    <row r="34" spans="1:11" x14ac:dyDescent="0.25">
      <c r="A34" s="17" t="s">
        <v>90</v>
      </c>
      <c r="C34" s="64">
        <f>ROUND(G34*H34,1)</f>
        <v>0</v>
      </c>
      <c r="D34" s="75" t="s">
        <v>100</v>
      </c>
      <c r="G34" s="77">
        <f>IF(C23=1,0.045,IF(C23=1.25,0.078,IF(C23=1.5,0.106,IF(C23=2,0.174,IF(C23=3,0.384,IF(C23=4,0.65))))))</f>
        <v>4.4999999999999998E-2</v>
      </c>
      <c r="H34" s="77">
        <f>A27*I21</f>
        <v>0</v>
      </c>
      <c r="I34" s="76" t="s">
        <v>62</v>
      </c>
    </row>
    <row r="35" spans="1:11" x14ac:dyDescent="0.25">
      <c r="D35" s="43"/>
      <c r="F35" s="261" t="s">
        <v>101</v>
      </c>
      <c r="G35" s="262"/>
      <c r="H35" s="17" t="s">
        <v>63</v>
      </c>
    </row>
    <row r="36" spans="1:11" x14ac:dyDescent="0.25">
      <c r="A36" s="40" t="s">
        <v>91</v>
      </c>
      <c r="C36" s="11">
        <f>C33+F36</f>
        <v>0</v>
      </c>
      <c r="D36" s="17" t="s">
        <v>100</v>
      </c>
      <c r="F36" s="11">
        <f>C10*G37</f>
        <v>0</v>
      </c>
      <c r="G36" s="17" t="s">
        <v>100</v>
      </c>
      <c r="H36" s="77">
        <f>C11</f>
        <v>0</v>
      </c>
      <c r="I36" s="76" t="s">
        <v>98</v>
      </c>
    </row>
    <row r="37" spans="1:11" x14ac:dyDescent="0.25">
      <c r="A37" s="42" t="e">
        <f>IF(C33/C34&gt;=7,"Dosage is Acceptable","Dosage is Unacceptable")</f>
        <v>#DIV/0!</v>
      </c>
      <c r="B37" s="42"/>
      <c r="C37" s="42"/>
      <c r="G37" s="77" t="b">
        <f>IF(H36=1,0.045, IF(H36=1.25,0.078, IF(H36=1.5,0.106, IF(H36=2,0.174, IF(H36=3,0.384, IF(H36=4,0.65))))))</f>
        <v>0</v>
      </c>
      <c r="I37" s="17"/>
    </row>
    <row r="38" spans="1:11" x14ac:dyDescent="0.25">
      <c r="A38" s="43"/>
      <c r="B38" s="43"/>
      <c r="C38" s="43"/>
      <c r="D38" s="43"/>
      <c r="J38" s="21"/>
    </row>
    <row r="39" spans="1:11" x14ac:dyDescent="0.25">
      <c r="A39" t="s">
        <v>20</v>
      </c>
      <c r="C39" s="183" t="e">
        <f>C12+G27+3</f>
        <v>#DIV/0!</v>
      </c>
      <c r="D39" s="71" t="s">
        <v>62</v>
      </c>
      <c r="F39" s="25" t="s">
        <v>4</v>
      </c>
      <c r="G39" s="25"/>
      <c r="H39" s="2"/>
      <c r="I39" s="2"/>
      <c r="J39" s="21"/>
    </row>
    <row r="40" spans="1:11" x14ac:dyDescent="0.25">
      <c r="F40" s="26" t="s">
        <v>2</v>
      </c>
      <c r="G40" s="12" t="s">
        <v>3</v>
      </c>
      <c r="J40" s="21"/>
    </row>
    <row r="41" spans="1:11" x14ac:dyDescent="0.25">
      <c r="A41" s="254" t="s">
        <v>178</v>
      </c>
      <c r="B41" s="254"/>
      <c r="C41" s="254"/>
      <c r="D41" s="139">
        <f>H24</f>
        <v>0</v>
      </c>
      <c r="E41" s="140" t="s">
        <v>74</v>
      </c>
      <c r="F41" s="91"/>
      <c r="G41" s="92"/>
      <c r="H41" s="73">
        <f>F41*G41/144</f>
        <v>0</v>
      </c>
      <c r="I41" s="148" t="s">
        <v>1</v>
      </c>
      <c r="J41" s="148"/>
    </row>
    <row r="42" spans="1:11" x14ac:dyDescent="0.25">
      <c r="A42" s="138" t="s">
        <v>176</v>
      </c>
      <c r="B42" s="141" t="e">
        <f>C39</f>
        <v>#DIV/0!</v>
      </c>
      <c r="C42" s="140" t="s">
        <v>177</v>
      </c>
      <c r="D42" s="42"/>
      <c r="E42" s="42"/>
      <c r="H42" s="64">
        <f>H41*7.48</f>
        <v>0</v>
      </c>
      <c r="I42" s="148" t="s">
        <v>5</v>
      </c>
      <c r="J42" s="148"/>
    </row>
    <row r="43" spans="1:11" x14ac:dyDescent="0.25">
      <c r="A43" t="s">
        <v>99</v>
      </c>
      <c r="H43" s="64" t="e">
        <f>C36/H42</f>
        <v>#DIV/0!</v>
      </c>
      <c r="I43" s="148" t="s">
        <v>12</v>
      </c>
      <c r="J43" s="148"/>
    </row>
    <row r="44" spans="1:11" x14ac:dyDescent="0.25">
      <c r="A44" t="s">
        <v>93</v>
      </c>
      <c r="F44" s="14" t="s">
        <v>212</v>
      </c>
      <c r="G44" s="14" t="s">
        <v>213</v>
      </c>
      <c r="K44" s="42"/>
    </row>
    <row r="45" spans="1:11" x14ac:dyDescent="0.25">
      <c r="A45" t="s">
        <v>217</v>
      </c>
      <c r="E45" s="162">
        <f>H13</f>
        <v>0</v>
      </c>
      <c r="F45" s="91">
        <f>C14</f>
        <v>0</v>
      </c>
      <c r="G45" s="91"/>
      <c r="H45" s="148">
        <f>G45-F45</f>
        <v>0</v>
      </c>
      <c r="I45" s="148" t="s">
        <v>214</v>
      </c>
      <c r="J45" s="148"/>
    </row>
    <row r="46" spans="1:11" x14ac:dyDescent="0.25">
      <c r="A46" t="s">
        <v>82</v>
      </c>
    </row>
    <row r="47" spans="1:11" x14ac:dyDescent="0.25">
      <c r="A47" t="s">
        <v>83</v>
      </c>
      <c r="F47" t="s">
        <v>215</v>
      </c>
    </row>
    <row r="48" spans="1:11" x14ac:dyDescent="0.25">
      <c r="A48" t="s">
        <v>84</v>
      </c>
      <c r="F48" s="154" t="s">
        <v>51</v>
      </c>
    </row>
    <row r="49" spans="1:10" x14ac:dyDescent="0.25">
      <c r="A49" t="s">
        <v>279</v>
      </c>
      <c r="F49" s="154" t="s">
        <v>197</v>
      </c>
    </row>
    <row r="50" spans="1:10" x14ac:dyDescent="0.25">
      <c r="A50" t="s">
        <v>173</v>
      </c>
      <c r="F50" t="s">
        <v>285</v>
      </c>
      <c r="G50" t="s">
        <v>149</v>
      </c>
    </row>
    <row r="51" spans="1:10" x14ac:dyDescent="0.25">
      <c r="A51" t="s">
        <v>174</v>
      </c>
      <c r="F51" t="s">
        <v>284</v>
      </c>
      <c r="G51" t="s">
        <v>277</v>
      </c>
      <c r="I51" t="s">
        <v>229</v>
      </c>
      <c r="J51">
        <f>H50*1.5</f>
        <v>0</v>
      </c>
    </row>
    <row r="52" spans="1:10" s="17" customFormat="1" ht="12.75" customHeight="1" x14ac:dyDescent="0.25">
      <c r="A52" t="s">
        <v>94</v>
      </c>
      <c r="B52"/>
      <c r="C52"/>
      <c r="D52"/>
      <c r="E52"/>
      <c r="F52"/>
      <c r="G52"/>
      <c r="H52"/>
    </row>
    <row r="53" spans="1:10" x14ac:dyDescent="0.25">
      <c r="A53" t="e">
        <f>IF(C5&gt;2,"50 feet of Dispersal Area required Downslope",IF(C5&lt;=2,"30 feet of Dispersal Area Required Downslope",IF(C9&gt;=0.5,"30 feet of Dispersal Area Required Downslope",IF(C9&lt;=0.3,"50 feet of Dispersal Area Required Downslope"))))</f>
        <v>#DIV/0!</v>
      </c>
      <c r="F53" t="s">
        <v>348</v>
      </c>
    </row>
    <row r="54" spans="1:10" x14ac:dyDescent="0.25">
      <c r="A54" t="s">
        <v>280</v>
      </c>
      <c r="B54" s="80"/>
      <c r="C54" s="80"/>
      <c r="D54" s="80"/>
      <c r="E54" s="80" t="e">
        <f>B17*0.25</f>
        <v>#DIV/0!</v>
      </c>
      <c r="F54" t="s">
        <v>351</v>
      </c>
      <c r="G54" s="80"/>
      <c r="H54" s="80"/>
    </row>
    <row r="55" spans="1:10" x14ac:dyDescent="0.25">
      <c r="A55" t="s">
        <v>281</v>
      </c>
      <c r="B55" s="80"/>
      <c r="C55" s="80"/>
      <c r="D55" s="80"/>
      <c r="E55" s="80" t="e">
        <f>B17*0.5</f>
        <v>#DIV/0!</v>
      </c>
      <c r="F55" s="80"/>
      <c r="G55" s="80"/>
      <c r="H55" s="80"/>
    </row>
    <row r="56" spans="1:10" x14ac:dyDescent="0.25">
      <c r="A56" s="41" t="s">
        <v>48</v>
      </c>
    </row>
  </sheetData>
  <mergeCells count="11">
    <mergeCell ref="A41:C41"/>
    <mergeCell ref="E15:G15"/>
    <mergeCell ref="M17:N17"/>
    <mergeCell ref="A1:J1"/>
    <mergeCell ref="H11:I11"/>
    <mergeCell ref="F11:G11"/>
    <mergeCell ref="E13:G13"/>
    <mergeCell ref="E14:G14"/>
    <mergeCell ref="F35:G35"/>
    <mergeCell ref="G33:I33"/>
    <mergeCell ref="F18:G18"/>
  </mergeCells>
  <phoneticPr fontId="0" type="noConversion"/>
  <pageMargins left="0.25" right="0.25" top="0.25" bottom="0" header="0.5" footer="0"/>
  <pageSetup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Q39"/>
  <sheetViews>
    <sheetView workbookViewId="0">
      <selection activeCell="C3" sqref="C3"/>
    </sheetView>
  </sheetViews>
  <sheetFormatPr defaultRowHeight="13.2" x14ac:dyDescent="0.25"/>
  <cols>
    <col min="6" max="6" width="8" customWidth="1"/>
    <col min="7" max="7" width="4.109375" customWidth="1"/>
    <col min="8" max="8" width="5" customWidth="1"/>
    <col min="9" max="11" width="7" customWidth="1"/>
    <col min="12" max="12" width="3.44140625" customWidth="1"/>
    <col min="13" max="13" width="3.88671875" customWidth="1"/>
    <col min="14" max="14" width="3.5546875" customWidth="1"/>
    <col min="15" max="15" width="3.88671875" customWidth="1"/>
    <col min="16" max="16" width="5.109375" customWidth="1"/>
    <col min="17" max="17" width="8" customWidth="1"/>
  </cols>
  <sheetData>
    <row r="1" spans="1:16" ht="17.399999999999999" x14ac:dyDescent="0.3">
      <c r="A1" s="236" t="s">
        <v>0</v>
      </c>
      <c r="B1" s="281"/>
      <c r="C1" s="281"/>
      <c r="D1" s="281"/>
      <c r="E1" s="281"/>
      <c r="F1" s="281"/>
      <c r="G1" s="281"/>
      <c r="H1" s="281"/>
      <c r="I1" s="281"/>
      <c r="J1" s="281"/>
    </row>
    <row r="3" spans="1:16" ht="12.75" customHeight="1" thickBot="1" x14ac:dyDescent="0.3">
      <c r="A3" s="112" t="s">
        <v>26</v>
      </c>
      <c r="B3" s="113"/>
      <c r="C3" s="114"/>
      <c r="D3" s="115"/>
      <c r="E3" s="112" t="s">
        <v>27</v>
      </c>
      <c r="F3" s="286"/>
      <c r="G3" s="286"/>
      <c r="H3" s="286"/>
      <c r="I3" s="115" t="s">
        <v>156</v>
      </c>
      <c r="J3" s="116"/>
      <c r="K3" s="2"/>
      <c r="L3" s="271" t="s">
        <v>163</v>
      </c>
      <c r="M3" s="271" t="s">
        <v>164</v>
      </c>
      <c r="N3" s="110"/>
      <c r="O3" s="110"/>
      <c r="P3" s="283" t="s">
        <v>159</v>
      </c>
    </row>
    <row r="4" spans="1:16" ht="12.75" customHeight="1" x14ac:dyDescent="0.25">
      <c r="F4" s="17"/>
      <c r="L4" s="272"/>
      <c r="M4" s="274"/>
      <c r="N4" s="110"/>
      <c r="O4" s="110"/>
      <c r="P4" s="284"/>
    </row>
    <row r="5" spans="1:16" x14ac:dyDescent="0.25">
      <c r="A5" s="69" t="s">
        <v>29</v>
      </c>
      <c r="C5" s="96"/>
      <c r="G5" s="270" t="s">
        <v>160</v>
      </c>
      <c r="H5" s="270"/>
      <c r="I5" s="270"/>
      <c r="J5" s="270"/>
      <c r="L5" s="272"/>
      <c r="M5" s="274"/>
      <c r="N5" s="110"/>
      <c r="O5" s="110"/>
      <c r="P5" s="284"/>
    </row>
    <row r="6" spans="1:16" x14ac:dyDescent="0.25">
      <c r="A6" s="17" t="s">
        <v>54</v>
      </c>
      <c r="C6" s="82">
        <f>C5*150</f>
        <v>0</v>
      </c>
      <c r="D6" s="83" t="s">
        <v>55</v>
      </c>
      <c r="F6" s="1"/>
      <c r="L6" s="272"/>
      <c r="M6" s="274"/>
      <c r="N6" s="110"/>
      <c r="O6" s="110"/>
      <c r="P6" s="284"/>
    </row>
    <row r="7" spans="1:16" x14ac:dyDescent="0.25">
      <c r="A7" s="81" t="s">
        <v>28</v>
      </c>
      <c r="C7" s="94"/>
      <c r="H7" s="1" t="s">
        <v>148</v>
      </c>
      <c r="J7" s="17" t="s">
        <v>161</v>
      </c>
      <c r="K7" s="17" t="s">
        <v>162</v>
      </c>
      <c r="L7" s="272"/>
      <c r="M7" s="274"/>
      <c r="N7" s="110"/>
      <c r="O7" s="110"/>
      <c r="P7" s="284"/>
    </row>
    <row r="8" spans="1:16" x14ac:dyDescent="0.25">
      <c r="A8" t="s">
        <v>105</v>
      </c>
      <c r="C8" s="46" t="e">
        <f>C6/C7</f>
        <v>#DIV/0!</v>
      </c>
      <c r="D8" s="83" t="s">
        <v>109</v>
      </c>
      <c r="E8" s="1"/>
      <c r="F8" s="1"/>
      <c r="G8" s="80" t="s">
        <v>148</v>
      </c>
      <c r="H8" s="80" t="s">
        <v>112</v>
      </c>
      <c r="I8" s="80" t="s">
        <v>126</v>
      </c>
      <c r="J8" s="105" t="s">
        <v>112</v>
      </c>
      <c r="K8" s="105" t="s">
        <v>112</v>
      </c>
      <c r="L8" s="273"/>
      <c r="M8" s="275"/>
      <c r="N8" s="41" t="s">
        <v>157</v>
      </c>
      <c r="O8" s="111" t="s">
        <v>158</v>
      </c>
      <c r="P8" s="285"/>
    </row>
    <row r="9" spans="1:16" x14ac:dyDescent="0.25">
      <c r="A9" t="s">
        <v>107</v>
      </c>
      <c r="C9" s="92"/>
      <c r="D9" s="84" t="s">
        <v>108</v>
      </c>
      <c r="G9" s="18" t="s">
        <v>129</v>
      </c>
      <c r="H9" s="97"/>
      <c r="I9" s="88">
        <f t="shared" ref="I9:I28" si="0">H9-3</f>
        <v>-3</v>
      </c>
      <c r="J9" s="97"/>
      <c r="K9" s="97"/>
      <c r="L9" s="89" t="e">
        <f>((J9-1.5)-C14/2)/C14</f>
        <v>#DIV/0!</v>
      </c>
      <c r="M9" s="89" t="e">
        <f>((K9-1.5)-C14/2)/C14</f>
        <v>#DIV/0!</v>
      </c>
      <c r="N9" s="118"/>
      <c r="O9" s="118"/>
      <c r="P9" s="108">
        <f>N9+O9</f>
        <v>0</v>
      </c>
    </row>
    <row r="10" spans="1:16" x14ac:dyDescent="0.25">
      <c r="A10" s="268" t="s">
        <v>106</v>
      </c>
      <c r="B10" s="268"/>
      <c r="C10" s="13" t="e">
        <f>C8/C9</f>
        <v>#DIV/0!</v>
      </c>
      <c r="G10" s="18" t="s">
        <v>130</v>
      </c>
      <c r="H10" s="97"/>
      <c r="I10" s="88">
        <f t="shared" si="0"/>
        <v>-3</v>
      </c>
      <c r="J10" s="97"/>
      <c r="K10" s="97"/>
      <c r="L10" s="89" t="e">
        <f>((J10-1.5)-C14/2)/C14</f>
        <v>#DIV/0!</v>
      </c>
      <c r="M10" s="89" t="e">
        <f>((K10-1.5)-C14/2)/C14</f>
        <v>#DIV/0!</v>
      </c>
      <c r="N10" s="118"/>
      <c r="O10" s="118"/>
      <c r="P10" s="108">
        <f t="shared" ref="P10:P28" si="1">N10+O10</f>
        <v>0</v>
      </c>
    </row>
    <row r="11" spans="1:16" x14ac:dyDescent="0.25">
      <c r="A11" s="17" t="s">
        <v>104</v>
      </c>
      <c r="B11" s="17"/>
      <c r="C11" s="92"/>
      <c r="D11" s="84" t="s">
        <v>108</v>
      </c>
      <c r="G11" s="18" t="s">
        <v>131</v>
      </c>
      <c r="H11" s="97"/>
      <c r="I11" s="88">
        <f t="shared" si="0"/>
        <v>-3</v>
      </c>
      <c r="J11" s="97"/>
      <c r="K11" s="97"/>
      <c r="L11" s="89" t="e">
        <f>((J11-1.5)-C14/2)/C14</f>
        <v>#DIV/0!</v>
      </c>
      <c r="M11" s="89" t="e">
        <f>((K11-1.5)-C14/2)/C14</f>
        <v>#DIV/0!</v>
      </c>
      <c r="N11" s="118"/>
      <c r="O11" s="118"/>
      <c r="P11" s="108">
        <f t="shared" si="1"/>
        <v>0</v>
      </c>
    </row>
    <row r="12" spans="1:16" x14ac:dyDescent="0.25">
      <c r="A12" s="17" t="s">
        <v>114</v>
      </c>
      <c r="B12" s="17"/>
      <c r="C12" s="92"/>
      <c r="D12" s="84" t="s">
        <v>89</v>
      </c>
      <c r="G12" s="18" t="s">
        <v>128</v>
      </c>
      <c r="H12" s="97"/>
      <c r="I12" s="88">
        <f t="shared" si="0"/>
        <v>-3</v>
      </c>
      <c r="J12" s="97"/>
      <c r="K12" s="97"/>
      <c r="L12" s="89" t="e">
        <f>((J12-1.5)-C14/2)/C14</f>
        <v>#DIV/0!</v>
      </c>
      <c r="M12" s="89" t="e">
        <f>((K12-1.5)-C14/2)/C14</f>
        <v>#DIV/0!</v>
      </c>
      <c r="N12" s="118"/>
      <c r="O12" s="118"/>
      <c r="P12" s="108">
        <f t="shared" si="1"/>
        <v>0</v>
      </c>
    </row>
    <row r="13" spans="1:16" x14ac:dyDescent="0.25">
      <c r="A13" s="1" t="s">
        <v>64</v>
      </c>
      <c r="C13" s="92"/>
      <c r="D13" s="84" t="s">
        <v>108</v>
      </c>
      <c r="G13" s="18" t="s">
        <v>132</v>
      </c>
      <c r="H13" s="97"/>
      <c r="I13" s="88">
        <f t="shared" si="0"/>
        <v>-3</v>
      </c>
      <c r="J13" s="97"/>
      <c r="K13" s="97"/>
      <c r="L13" s="89" t="e">
        <f>((J13-1.5)-C14/2)/C14</f>
        <v>#DIV/0!</v>
      </c>
      <c r="M13" s="89" t="e">
        <f>((K13-1.5)-C14/2)/C14</f>
        <v>#DIV/0!</v>
      </c>
      <c r="N13" s="118"/>
      <c r="O13" s="118"/>
      <c r="P13" s="108">
        <f t="shared" si="1"/>
        <v>0</v>
      </c>
    </row>
    <row r="14" spans="1:16" x14ac:dyDescent="0.25">
      <c r="A14" t="s">
        <v>110</v>
      </c>
      <c r="C14" s="92"/>
      <c r="D14" s="84" t="s">
        <v>111</v>
      </c>
      <c r="G14" s="18" t="s">
        <v>133</v>
      </c>
      <c r="H14" s="97"/>
      <c r="I14" s="88">
        <f t="shared" si="0"/>
        <v>-3</v>
      </c>
      <c r="J14" s="97"/>
      <c r="K14" s="97"/>
      <c r="L14" s="89" t="e">
        <f>((J14-1.5)-C14/2)/C14</f>
        <v>#DIV/0!</v>
      </c>
      <c r="M14" s="89" t="e">
        <f>((K14-1.5)-C14/2)/C14</f>
        <v>#DIV/0!</v>
      </c>
      <c r="N14" s="118"/>
      <c r="O14" s="118"/>
      <c r="P14" s="108">
        <f t="shared" si="1"/>
        <v>0</v>
      </c>
    </row>
    <row r="15" spans="1:16" x14ac:dyDescent="0.25">
      <c r="A15" t="s">
        <v>113</v>
      </c>
      <c r="C15" s="92"/>
      <c r="D15" s="84" t="s">
        <v>89</v>
      </c>
      <c r="G15" s="18" t="s">
        <v>134</v>
      </c>
      <c r="H15" s="97"/>
      <c r="I15" s="88">
        <f t="shared" si="0"/>
        <v>-3</v>
      </c>
      <c r="J15" s="97"/>
      <c r="K15" s="97"/>
      <c r="L15" s="89" t="e">
        <f>((J15-1.5)-C14/2)/C14</f>
        <v>#DIV/0!</v>
      </c>
      <c r="M15" s="89" t="e">
        <f>((K15-1.5)-C14/2)/C14</f>
        <v>#DIV/0!</v>
      </c>
      <c r="N15" s="118"/>
      <c r="O15" s="118"/>
      <c r="P15" s="108">
        <f t="shared" si="1"/>
        <v>0</v>
      </c>
    </row>
    <row r="16" spans="1:16" x14ac:dyDescent="0.25">
      <c r="A16" t="s">
        <v>78</v>
      </c>
      <c r="C16" s="95"/>
      <c r="D16" s="86" t="s">
        <v>89</v>
      </c>
      <c r="G16" s="18" t="s">
        <v>135</v>
      </c>
      <c r="H16" s="97"/>
      <c r="I16" s="88">
        <f t="shared" si="0"/>
        <v>-3</v>
      </c>
      <c r="J16" s="97"/>
      <c r="K16" s="97"/>
      <c r="L16" s="89" t="e">
        <f>((J16-1.5)-C14/2)/C14</f>
        <v>#DIV/0!</v>
      </c>
      <c r="M16" s="89" t="e">
        <f>((K16-1.5)-C14/2)/C14</f>
        <v>#DIV/0!</v>
      </c>
      <c r="N16" s="118"/>
      <c r="O16" s="118"/>
      <c r="P16" s="108">
        <f t="shared" si="1"/>
        <v>0</v>
      </c>
    </row>
    <row r="17" spans="1:16" x14ac:dyDescent="0.25">
      <c r="A17" t="s">
        <v>79</v>
      </c>
      <c r="C17" s="92"/>
      <c r="D17" s="84" t="s">
        <v>108</v>
      </c>
      <c r="G17" s="18" t="s">
        <v>136</v>
      </c>
      <c r="H17" s="97"/>
      <c r="I17" s="88">
        <f t="shared" si="0"/>
        <v>-3</v>
      </c>
      <c r="J17" s="97"/>
      <c r="K17" s="97"/>
      <c r="L17" s="89" t="e">
        <f>((J17-1.5)-C14/2)/C14</f>
        <v>#DIV/0!</v>
      </c>
      <c r="M17" s="89" t="e">
        <f>((K17-1.5)-C14/2)/C14</f>
        <v>#DIV/0!</v>
      </c>
      <c r="N17" s="118"/>
      <c r="O17" s="118"/>
      <c r="P17" s="108">
        <f t="shared" si="1"/>
        <v>0</v>
      </c>
    </row>
    <row r="18" spans="1:16" x14ac:dyDescent="0.25">
      <c r="A18" t="s">
        <v>76</v>
      </c>
      <c r="C18" s="49">
        <f>1.28*P29</f>
        <v>0</v>
      </c>
      <c r="D18" s="87" t="s">
        <v>74</v>
      </c>
      <c r="G18" s="18" t="s">
        <v>137</v>
      </c>
      <c r="H18" s="97"/>
      <c r="I18" s="88">
        <f t="shared" si="0"/>
        <v>-3</v>
      </c>
      <c r="J18" s="97"/>
      <c r="K18" s="97"/>
      <c r="L18" s="89" t="e">
        <f>((J18-1.5)-C14/2)/C14</f>
        <v>#DIV/0!</v>
      </c>
      <c r="M18" s="89" t="e">
        <f>((K18-1.5)-C14/2)/C14</f>
        <v>#DIV/0!</v>
      </c>
      <c r="N18" s="118"/>
      <c r="O18" s="118"/>
      <c r="P18" s="108">
        <f t="shared" si="1"/>
        <v>0</v>
      </c>
    </row>
    <row r="19" spans="1:16" x14ac:dyDescent="0.25">
      <c r="A19" t="s">
        <v>118</v>
      </c>
      <c r="C19" s="46">
        <f>I29*E19</f>
        <v>0</v>
      </c>
      <c r="D19" s="83" t="s">
        <v>100</v>
      </c>
      <c r="E19" s="65" t="b">
        <f>IF(C15=1,0.045,IF(C15=1.25,0.078,IF(C15=1.5,0.016,IF(C15=2,0.174,IF(C15=3,0.384,IF(C15=4,0.65))))))</f>
        <v>0</v>
      </c>
      <c r="F19" s="65" t="s">
        <v>116</v>
      </c>
      <c r="G19" s="18" t="s">
        <v>138</v>
      </c>
      <c r="H19" s="97"/>
      <c r="I19" s="88">
        <f t="shared" si="0"/>
        <v>-3</v>
      </c>
      <c r="J19" s="97"/>
      <c r="K19" s="97"/>
      <c r="L19" s="89" t="e">
        <f>((J19-1.5)-C14/2)/C14</f>
        <v>#DIV/0!</v>
      </c>
      <c r="M19" s="89" t="e">
        <f>((K19-1.5)-C14/2)/C14</f>
        <v>#DIV/0!</v>
      </c>
      <c r="N19" s="118"/>
      <c r="O19" s="118"/>
      <c r="P19" s="108">
        <f t="shared" si="1"/>
        <v>0</v>
      </c>
    </row>
    <row r="20" spans="1:16" x14ac:dyDescent="0.25">
      <c r="A20" s="287" t="s">
        <v>168</v>
      </c>
      <c r="B20" s="269"/>
      <c r="C20" s="288"/>
      <c r="D20" s="94"/>
      <c r="G20" s="18" t="s">
        <v>139</v>
      </c>
      <c r="H20" s="97"/>
      <c r="I20" s="88">
        <f t="shared" si="0"/>
        <v>-3</v>
      </c>
      <c r="J20" s="97"/>
      <c r="K20" s="97"/>
      <c r="L20" s="89" t="e">
        <f>((J20-1.5)-C14/2)/C14</f>
        <v>#DIV/0!</v>
      </c>
      <c r="M20" s="89" t="e">
        <f>((K20-1.5)-C14/2)/C14</f>
        <v>#DIV/0!</v>
      </c>
      <c r="N20" s="118"/>
      <c r="O20" s="118"/>
      <c r="P20" s="108">
        <f t="shared" si="1"/>
        <v>0</v>
      </c>
    </row>
    <row r="21" spans="1:16" x14ac:dyDescent="0.25">
      <c r="A21" s="287" t="s">
        <v>167</v>
      </c>
      <c r="B21" s="269"/>
      <c r="C21" s="46"/>
      <c r="D21" s="83" t="s">
        <v>108</v>
      </c>
      <c r="G21" s="18" t="s">
        <v>140</v>
      </c>
      <c r="H21" s="97"/>
      <c r="I21" s="88">
        <v>-3</v>
      </c>
      <c r="J21" s="91"/>
      <c r="K21" s="97"/>
      <c r="L21" s="89" t="e">
        <f>((J21-1.5)-C14/2)/C14</f>
        <v>#DIV/0!</v>
      </c>
      <c r="M21" s="89" t="e">
        <f>((K21-1.5)-C14/2)/C14</f>
        <v>#DIV/0!</v>
      </c>
      <c r="N21" s="118"/>
      <c r="O21" s="118"/>
      <c r="P21" s="108">
        <f t="shared" si="1"/>
        <v>0</v>
      </c>
    </row>
    <row r="22" spans="1:16" x14ac:dyDescent="0.25">
      <c r="A22" s="282" t="s">
        <v>115</v>
      </c>
      <c r="B22" s="282"/>
      <c r="C22" s="72">
        <f>C11*E22</f>
        <v>0</v>
      </c>
      <c r="D22" s="127" t="s">
        <v>100</v>
      </c>
      <c r="E22" s="65" t="b">
        <f>IF(C12=1,0.45,IF(C12=1.25,0.078,IF(C12=1.5,0.106,IF(C12=2,0.174,IF(C12=3,0.384,IF(C12=4,0.65))))))</f>
        <v>0</v>
      </c>
      <c r="F22" s="65" t="s">
        <v>117</v>
      </c>
      <c r="G22" s="18" t="s">
        <v>141</v>
      </c>
      <c r="H22" s="97"/>
      <c r="I22" s="88">
        <f t="shared" si="0"/>
        <v>-3</v>
      </c>
      <c r="J22" s="91"/>
      <c r="K22" s="97"/>
      <c r="L22" s="89" t="e">
        <f>((J22-1.5)-C14/2)/C14</f>
        <v>#DIV/0!</v>
      </c>
      <c r="M22" s="89" t="e">
        <f>((K22-1.5)-C14/2)/C14</f>
        <v>#DIV/0!</v>
      </c>
      <c r="N22" s="118"/>
      <c r="O22" s="118"/>
      <c r="P22" s="108">
        <f t="shared" si="1"/>
        <v>0</v>
      </c>
    </row>
    <row r="23" spans="1:16" x14ac:dyDescent="0.25">
      <c r="C23" s="129"/>
      <c r="D23" s="129"/>
      <c r="E23" s="65"/>
      <c r="F23" s="65"/>
      <c r="G23" s="18" t="s">
        <v>142</v>
      </c>
      <c r="H23" s="97"/>
      <c r="I23" s="88">
        <f t="shared" si="0"/>
        <v>-3</v>
      </c>
      <c r="J23" s="91"/>
      <c r="K23" s="97"/>
      <c r="L23" s="89" t="e">
        <f>((J23-1.5)-C14/2)/C14</f>
        <v>#DIV/0!</v>
      </c>
      <c r="M23" s="89" t="e">
        <f>((K23-1.5)-C14/2)/C14</f>
        <v>#DIV/0!</v>
      </c>
      <c r="N23" s="118"/>
      <c r="O23" s="118"/>
      <c r="P23" s="108">
        <f t="shared" si="1"/>
        <v>0</v>
      </c>
    </row>
    <row r="24" spans="1:16" x14ac:dyDescent="0.25">
      <c r="A24" t="s">
        <v>121</v>
      </c>
      <c r="C24" s="49">
        <f>C6+C22+C23</f>
        <v>0</v>
      </c>
      <c r="D24" s="87" t="s">
        <v>100</v>
      </c>
      <c r="G24" s="18" t="s">
        <v>143</v>
      </c>
      <c r="H24" s="97"/>
      <c r="I24" s="88">
        <f t="shared" si="0"/>
        <v>-3</v>
      </c>
      <c r="J24" s="91"/>
      <c r="K24" s="97"/>
      <c r="L24" s="89" t="e">
        <f>((J24-1.5)-C14/2)/C14</f>
        <v>#DIV/0!</v>
      </c>
      <c r="M24" s="89" t="e">
        <f>((K24-1.5)-C14/2)/C14</f>
        <v>#DIV/0!</v>
      </c>
      <c r="N24" s="118"/>
      <c r="O24" s="118"/>
      <c r="P24" s="108">
        <f t="shared" si="1"/>
        <v>0</v>
      </c>
    </row>
    <row r="25" spans="1:16" x14ac:dyDescent="0.25">
      <c r="A25" t="s">
        <v>20</v>
      </c>
      <c r="C25" s="46">
        <f>C13+C21+3</f>
        <v>3</v>
      </c>
      <c r="D25" s="83" t="s">
        <v>108</v>
      </c>
      <c r="G25" s="18" t="s">
        <v>144</v>
      </c>
      <c r="H25" s="97"/>
      <c r="I25" s="88">
        <f t="shared" si="0"/>
        <v>-3</v>
      </c>
      <c r="J25" s="91"/>
      <c r="K25" s="97"/>
      <c r="L25" s="89" t="e">
        <f>((J25-1.5)-C14/2)/C14</f>
        <v>#DIV/0!</v>
      </c>
      <c r="M25" s="89" t="e">
        <f>((K25-1.5)-C14/2)/C14</f>
        <v>#DIV/0!</v>
      </c>
      <c r="N25" s="118"/>
      <c r="O25" s="118"/>
      <c r="P25" s="108">
        <f t="shared" si="1"/>
        <v>0</v>
      </c>
    </row>
    <row r="26" spans="1:16" x14ac:dyDescent="0.25">
      <c r="A26" s="42" t="e">
        <f>IF(C24/C19&gt;=7,"Dosage is Acceptable","Dosage is Unacceptable")</f>
        <v>#DIV/0!</v>
      </c>
      <c r="B26" s="42"/>
      <c r="G26" s="18" t="s">
        <v>145</v>
      </c>
      <c r="H26" s="97"/>
      <c r="I26" s="88">
        <f t="shared" si="0"/>
        <v>-3</v>
      </c>
      <c r="J26" s="91"/>
      <c r="K26" s="97"/>
      <c r="L26" s="89" t="e">
        <f>((J26-1.5)-C14/2)/C14</f>
        <v>#DIV/0!</v>
      </c>
      <c r="M26" s="89" t="e">
        <f>((K26-1.5)-C14/2)/C14</f>
        <v>#DIV/0!</v>
      </c>
      <c r="N26" s="118"/>
      <c r="O26" s="118"/>
      <c r="P26" s="108">
        <f t="shared" si="1"/>
        <v>0</v>
      </c>
    </row>
    <row r="27" spans="1:16" x14ac:dyDescent="0.25">
      <c r="G27" s="18" t="s">
        <v>146</v>
      </c>
      <c r="H27" s="97"/>
      <c r="I27" s="88">
        <f t="shared" si="0"/>
        <v>-3</v>
      </c>
      <c r="J27" s="91"/>
      <c r="K27" s="97"/>
      <c r="L27" s="89" t="e">
        <f>((J27-1.5)-C14/2)/C14</f>
        <v>#DIV/0!</v>
      </c>
      <c r="M27" s="89" t="e">
        <f>((K27-1.5)-C14/2)/C14</f>
        <v>#DIV/0!</v>
      </c>
      <c r="N27" s="118"/>
      <c r="O27" s="118"/>
      <c r="P27" s="108">
        <f t="shared" si="1"/>
        <v>0</v>
      </c>
    </row>
    <row r="28" spans="1:16" ht="13.8" thickBot="1" x14ac:dyDescent="0.3">
      <c r="A28" s="104" t="s">
        <v>4</v>
      </c>
      <c r="B28" s="107"/>
      <c r="G28" s="18" t="s">
        <v>147</v>
      </c>
      <c r="H28" s="98"/>
      <c r="I28" s="88">
        <f t="shared" si="0"/>
        <v>-3</v>
      </c>
      <c r="J28" s="91"/>
      <c r="K28" s="97"/>
      <c r="L28" s="89" t="e">
        <f>((J28-1.5)-C14/2)/C14</f>
        <v>#DIV/0!</v>
      </c>
      <c r="M28" s="89" t="e">
        <f>((K28-1.5)-C14/2)/C14</f>
        <v>#DIV/0!</v>
      </c>
      <c r="N28" s="118"/>
      <c r="O28" s="118"/>
      <c r="P28" s="108">
        <f t="shared" si="1"/>
        <v>0</v>
      </c>
    </row>
    <row r="29" spans="1:16" ht="13.8" thickTop="1" x14ac:dyDescent="0.25">
      <c r="A29" s="106" t="s">
        <v>2</v>
      </c>
      <c r="B29" s="12" t="s">
        <v>3</v>
      </c>
      <c r="H29" s="85">
        <f>SUM(H9:H28)</f>
        <v>0</v>
      </c>
      <c r="I29" s="103">
        <f>I9+I10+I11+I12+I13+I14+I15+I16+I17+I18+I19+I20+I21+I22+I23+I24+I25+I26+I27+I27+I28</f>
        <v>-63</v>
      </c>
      <c r="J29" s="102"/>
      <c r="K29" s="102"/>
      <c r="N29" s="279" t="s">
        <v>171</v>
      </c>
      <c r="O29" s="280"/>
      <c r="P29" s="109">
        <f>SUM(P9:P28)</f>
        <v>0</v>
      </c>
    </row>
    <row r="30" spans="1:16" x14ac:dyDescent="0.25">
      <c r="A30" s="91"/>
      <c r="B30" s="92"/>
      <c r="C30" s="73">
        <f>A30*B30/144</f>
        <v>0</v>
      </c>
      <c r="D30" s="101" t="s">
        <v>1</v>
      </c>
      <c r="E30" s="83"/>
      <c r="N30" s="3"/>
    </row>
    <row r="31" spans="1:16" x14ac:dyDescent="0.25">
      <c r="C31" s="49">
        <f>C30*7.48</f>
        <v>0</v>
      </c>
      <c r="D31" s="100" t="s">
        <v>5</v>
      </c>
      <c r="E31" s="87"/>
      <c r="G31" s="276" t="s">
        <v>86</v>
      </c>
      <c r="H31" s="277"/>
      <c r="I31" s="278"/>
      <c r="J31" s="91"/>
      <c r="N31" s="3"/>
    </row>
    <row r="32" spans="1:16" x14ac:dyDescent="0.25">
      <c r="N32" s="3"/>
    </row>
    <row r="33" spans="1:17" x14ac:dyDescent="0.25">
      <c r="A33" t="s">
        <v>122</v>
      </c>
      <c r="F33" s="268"/>
      <c r="G33" s="257"/>
      <c r="H33" s="257"/>
      <c r="I33" s="257"/>
      <c r="J33" s="257"/>
      <c r="K33" s="257"/>
      <c r="L33" s="269"/>
      <c r="M33" s="267"/>
      <c r="N33" s="267"/>
      <c r="O33" s="130"/>
      <c r="P33" s="130"/>
    </row>
    <row r="34" spans="1:17" x14ac:dyDescent="0.25">
      <c r="A34" t="s">
        <v>153</v>
      </c>
      <c r="F34" t="s">
        <v>119</v>
      </c>
      <c r="J34" s="21"/>
      <c r="K34" s="21"/>
      <c r="M34" s="21"/>
      <c r="N34" s="21"/>
    </row>
    <row r="35" spans="1:17" x14ac:dyDescent="0.25">
      <c r="A35" s="2" t="s">
        <v>152</v>
      </c>
      <c r="B35" s="2"/>
      <c r="C35" s="2"/>
      <c r="F35" t="s">
        <v>125</v>
      </c>
      <c r="O35" s="21"/>
      <c r="P35" s="21"/>
      <c r="Q35" s="21"/>
    </row>
    <row r="36" spans="1:17" x14ac:dyDescent="0.25">
      <c r="A36" t="s">
        <v>123</v>
      </c>
      <c r="F36" t="s">
        <v>124</v>
      </c>
      <c r="O36" s="21"/>
      <c r="P36" s="21"/>
      <c r="Q36" s="21"/>
    </row>
    <row r="37" spans="1:17" x14ac:dyDescent="0.25">
      <c r="A37" t="s">
        <v>154</v>
      </c>
      <c r="F37" t="s">
        <v>127</v>
      </c>
    </row>
    <row r="38" spans="1:17" x14ac:dyDescent="0.25">
      <c r="A38" t="s">
        <v>155</v>
      </c>
      <c r="C38" s="46" t="b">
        <f>IF(C5=3,1000,IF(C5=4,1250,IF(C5=5,1500)))</f>
        <v>0</v>
      </c>
      <c r="D38" s="83" t="s">
        <v>120</v>
      </c>
      <c r="F38" t="s">
        <v>48</v>
      </c>
    </row>
    <row r="39" spans="1:17" x14ac:dyDescent="0.25">
      <c r="A39" t="s">
        <v>348</v>
      </c>
    </row>
  </sheetData>
  <mergeCells count="14">
    <mergeCell ref="A1:J1"/>
    <mergeCell ref="A22:B22"/>
    <mergeCell ref="P3:P8"/>
    <mergeCell ref="F3:H3"/>
    <mergeCell ref="A10:B10"/>
    <mergeCell ref="A20:C20"/>
    <mergeCell ref="A21:B21"/>
    <mergeCell ref="M33:N33"/>
    <mergeCell ref="F33:L33"/>
    <mergeCell ref="G5:J5"/>
    <mergeCell ref="L3:L8"/>
    <mergeCell ref="M3:M8"/>
    <mergeCell ref="G31:I31"/>
    <mergeCell ref="N29:O29"/>
  </mergeCells>
  <phoneticPr fontId="0" type="noConversion"/>
  <printOptions horizontalCentered="1" verticalCentered="1"/>
  <pageMargins left="0.3" right="0.25" top="0.4" bottom="0.56000000000000005" header="0.5" footer="0.5"/>
  <pageSetup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AA39"/>
  <sheetViews>
    <sheetView topLeftCell="A25" workbookViewId="0">
      <selection activeCell="A39" sqref="A39"/>
    </sheetView>
  </sheetViews>
  <sheetFormatPr defaultRowHeight="13.2" x14ac:dyDescent="0.25"/>
  <cols>
    <col min="6" max="6" width="8" customWidth="1"/>
    <col min="7" max="7" width="4.109375" customWidth="1"/>
    <col min="8" max="8" width="5" customWidth="1"/>
    <col min="9" max="9" width="6.88671875" customWidth="1"/>
    <col min="10" max="10" width="7" hidden="1" customWidth="1"/>
    <col min="11" max="11" width="0.33203125" hidden="1" customWidth="1"/>
    <col min="12" max="12" width="5.88671875" customWidth="1"/>
    <col min="13" max="13" width="3.88671875" hidden="1" customWidth="1"/>
    <col min="14" max="14" width="0.109375" customWidth="1"/>
    <col min="15" max="15" width="6.88671875" customWidth="1"/>
    <col min="16" max="16" width="5.109375" hidden="1" customWidth="1"/>
    <col min="17" max="17" width="8" customWidth="1"/>
  </cols>
  <sheetData>
    <row r="1" spans="1:17" ht="17.399999999999999" x14ac:dyDescent="0.3">
      <c r="A1" s="236" t="s">
        <v>0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7" ht="13.8" thickBot="1" x14ac:dyDescent="0.3">
      <c r="E2" s="115" t="s">
        <v>156</v>
      </c>
      <c r="F2" s="136"/>
      <c r="G2" s="23"/>
      <c r="H2" s="23"/>
      <c r="I2" s="23"/>
    </row>
    <row r="3" spans="1:17" ht="12.75" customHeight="1" thickBot="1" x14ac:dyDescent="0.3">
      <c r="A3" s="112" t="s">
        <v>26</v>
      </c>
      <c r="B3" s="113"/>
      <c r="C3" s="114"/>
      <c r="D3" s="115"/>
      <c r="E3" s="112" t="s">
        <v>27</v>
      </c>
      <c r="F3" s="286"/>
      <c r="G3" s="286"/>
      <c r="H3" s="286"/>
      <c r="I3" s="23"/>
      <c r="J3" s="116"/>
      <c r="K3" s="2"/>
      <c r="L3" s="293" t="s">
        <v>166</v>
      </c>
      <c r="M3" s="271" t="s">
        <v>164</v>
      </c>
      <c r="N3" s="110"/>
      <c r="O3" s="289" t="s">
        <v>172</v>
      </c>
      <c r="P3" s="283" t="s">
        <v>159</v>
      </c>
    </row>
    <row r="4" spans="1:17" ht="12.75" customHeight="1" x14ac:dyDescent="0.25">
      <c r="F4" s="17"/>
      <c r="L4" s="272"/>
      <c r="M4" s="274"/>
      <c r="N4" s="110"/>
      <c r="O4" s="289"/>
      <c r="P4" s="284"/>
    </row>
    <row r="5" spans="1:17" x14ac:dyDescent="0.25">
      <c r="A5" s="69" t="s">
        <v>29</v>
      </c>
      <c r="C5" s="96"/>
      <c r="G5" s="270" t="s">
        <v>160</v>
      </c>
      <c r="H5" s="270"/>
      <c r="I5" s="270"/>
      <c r="J5" s="270"/>
      <c r="L5" s="272"/>
      <c r="M5" s="274"/>
      <c r="N5" s="110"/>
      <c r="O5" s="289"/>
      <c r="P5" s="284"/>
    </row>
    <row r="6" spans="1:17" x14ac:dyDescent="0.25">
      <c r="A6" s="17" t="s">
        <v>54</v>
      </c>
      <c r="C6" s="82">
        <f>C5*150</f>
        <v>0</v>
      </c>
      <c r="D6" s="83" t="s">
        <v>55</v>
      </c>
      <c r="F6" s="1"/>
      <c r="L6" s="272"/>
      <c r="M6" s="274"/>
      <c r="N6" s="110"/>
      <c r="O6" s="289"/>
      <c r="P6" s="284"/>
    </row>
    <row r="7" spans="1:17" x14ac:dyDescent="0.25">
      <c r="A7" s="81" t="s">
        <v>28</v>
      </c>
      <c r="C7" s="94"/>
      <c r="H7" s="1" t="s">
        <v>148</v>
      </c>
      <c r="J7" s="17" t="s">
        <v>161</v>
      </c>
      <c r="K7" s="17"/>
      <c r="L7" s="272"/>
      <c r="M7" s="274"/>
      <c r="N7" s="110"/>
      <c r="O7" s="289"/>
      <c r="P7" s="284"/>
    </row>
    <row r="8" spans="1:17" x14ac:dyDescent="0.25">
      <c r="A8" t="s">
        <v>105</v>
      </c>
      <c r="C8" s="46" t="e">
        <f>C6/C7</f>
        <v>#DIV/0!</v>
      </c>
      <c r="D8" s="83" t="s">
        <v>109</v>
      </c>
      <c r="E8" s="1"/>
      <c r="F8" s="1"/>
      <c r="G8" s="80" t="s">
        <v>148</v>
      </c>
      <c r="H8" s="80" t="s">
        <v>112</v>
      </c>
      <c r="I8" s="80" t="s">
        <v>126</v>
      </c>
      <c r="J8" s="105" t="s">
        <v>112</v>
      </c>
      <c r="K8" s="105"/>
      <c r="L8" s="273"/>
      <c r="M8" s="275"/>
      <c r="N8" s="41" t="s">
        <v>157</v>
      </c>
      <c r="O8" s="290"/>
      <c r="P8" s="285"/>
    </row>
    <row r="9" spans="1:17" x14ac:dyDescent="0.25">
      <c r="A9" t="s">
        <v>107</v>
      </c>
      <c r="C9" s="92"/>
      <c r="D9" s="84" t="s">
        <v>108</v>
      </c>
      <c r="G9" s="18" t="s">
        <v>129</v>
      </c>
      <c r="H9" s="97"/>
      <c r="I9" s="88">
        <f>H9-1.5</f>
        <v>-1.5</v>
      </c>
      <c r="J9" s="97"/>
      <c r="K9" s="97"/>
      <c r="L9" s="89" t="e">
        <f>((H9-1.5)-C14/2)/C14</f>
        <v>#DIV/0!</v>
      </c>
      <c r="M9" s="89" t="e">
        <f>((K9-1.5)-C14/2)/C14</f>
        <v>#DIV/0!</v>
      </c>
      <c r="N9" s="118"/>
      <c r="O9" s="118"/>
      <c r="P9" s="108">
        <f t="shared" ref="P9:P28" si="0">N9+O9</f>
        <v>0</v>
      </c>
      <c r="Q9" s="126"/>
    </row>
    <row r="10" spans="1:17" x14ac:dyDescent="0.25">
      <c r="A10" s="268" t="s">
        <v>106</v>
      </c>
      <c r="B10" s="268"/>
      <c r="C10" s="13" t="e">
        <f>C8/C9</f>
        <v>#DIV/0!</v>
      </c>
      <c r="G10" s="18" t="s">
        <v>130</v>
      </c>
      <c r="H10" s="97"/>
      <c r="I10" s="88">
        <f>H10-1.5</f>
        <v>-1.5</v>
      </c>
      <c r="J10" s="97"/>
      <c r="K10" s="97"/>
      <c r="L10" s="89" t="e">
        <f>((H10-1.5)-C14/2)/C14</f>
        <v>#DIV/0!</v>
      </c>
      <c r="M10" s="89" t="e">
        <f>((K10-1.5)-C14/2)/C14</f>
        <v>#DIV/0!</v>
      </c>
      <c r="N10" s="118"/>
      <c r="O10" s="118"/>
      <c r="P10" s="108">
        <f t="shared" si="0"/>
        <v>0</v>
      </c>
    </row>
    <row r="11" spans="1:17" x14ac:dyDescent="0.25">
      <c r="A11" s="17" t="s">
        <v>104</v>
      </c>
      <c r="B11" s="17"/>
      <c r="C11" s="92"/>
      <c r="D11" s="84" t="s">
        <v>108</v>
      </c>
      <c r="G11" s="18" t="s">
        <v>131</v>
      </c>
      <c r="H11" s="97"/>
      <c r="I11" s="88">
        <f>H11-1.5</f>
        <v>-1.5</v>
      </c>
      <c r="J11" s="97"/>
      <c r="K11" s="97"/>
      <c r="L11" s="89" t="e">
        <f>((H11-1.5)-C14/2)/C14</f>
        <v>#DIV/0!</v>
      </c>
      <c r="M11" s="89" t="e">
        <f>((K11-1.5)-C14/2)/C14</f>
        <v>#DIV/0!</v>
      </c>
      <c r="N11" s="118"/>
      <c r="O11" s="118"/>
      <c r="P11" s="108">
        <f t="shared" si="0"/>
        <v>0</v>
      </c>
    </row>
    <row r="12" spans="1:17" x14ac:dyDescent="0.25">
      <c r="A12" s="17" t="s">
        <v>114</v>
      </c>
      <c r="B12" s="17"/>
      <c r="C12" s="92"/>
      <c r="D12" s="84" t="s">
        <v>89</v>
      </c>
      <c r="G12" s="18" t="s">
        <v>128</v>
      </c>
      <c r="H12" s="97"/>
      <c r="I12" s="88">
        <f>H12-1.5</f>
        <v>-1.5</v>
      </c>
      <c r="J12" s="97"/>
      <c r="K12" s="97"/>
      <c r="L12" s="89" t="e">
        <f>((H12-1.5)-C14/2)/C14</f>
        <v>#DIV/0!</v>
      </c>
      <c r="M12" s="89" t="e">
        <f>((K12-1.5)-C14/2)/C14</f>
        <v>#DIV/0!</v>
      </c>
      <c r="N12" s="118"/>
      <c r="O12" s="118"/>
      <c r="P12" s="108">
        <f t="shared" si="0"/>
        <v>0</v>
      </c>
    </row>
    <row r="13" spans="1:17" x14ac:dyDescent="0.25">
      <c r="A13" s="1" t="s">
        <v>64</v>
      </c>
      <c r="C13" s="92"/>
      <c r="D13" s="84" t="s">
        <v>108</v>
      </c>
      <c r="G13" s="18" t="s">
        <v>132</v>
      </c>
      <c r="H13" s="97"/>
      <c r="I13" s="88">
        <f t="shared" ref="I13:I28" si="1">H13-1.5</f>
        <v>-1.5</v>
      </c>
      <c r="J13" s="97"/>
      <c r="K13" s="97"/>
      <c r="L13" s="89" t="e">
        <f>((H13-1.5)-C14/2)/C14</f>
        <v>#DIV/0!</v>
      </c>
      <c r="M13" s="89" t="e">
        <f>((K13-1.5)-C14/2)/C14</f>
        <v>#DIV/0!</v>
      </c>
      <c r="N13" s="118"/>
      <c r="O13" s="118"/>
      <c r="P13" s="108">
        <f t="shared" si="0"/>
        <v>0</v>
      </c>
    </row>
    <row r="14" spans="1:17" x14ac:dyDescent="0.25">
      <c r="A14" t="s">
        <v>110</v>
      </c>
      <c r="C14" s="92"/>
      <c r="D14" s="84" t="s">
        <v>111</v>
      </c>
      <c r="G14" s="18" t="s">
        <v>133</v>
      </c>
      <c r="H14" s="97"/>
      <c r="I14" s="88">
        <f t="shared" si="1"/>
        <v>-1.5</v>
      </c>
      <c r="J14" s="97"/>
      <c r="K14" s="97"/>
      <c r="L14" s="89" t="e">
        <f>((H14-1.5)-C14/2)/C14</f>
        <v>#DIV/0!</v>
      </c>
      <c r="M14" s="89" t="e">
        <f>((K14-1.5)-C14/2)/C14</f>
        <v>#DIV/0!</v>
      </c>
      <c r="N14" s="118"/>
      <c r="O14" s="118"/>
      <c r="P14" s="108">
        <f t="shared" si="0"/>
        <v>0</v>
      </c>
    </row>
    <row r="15" spans="1:17" x14ac:dyDescent="0.25">
      <c r="A15" t="s">
        <v>113</v>
      </c>
      <c r="C15" s="92"/>
      <c r="D15" s="84" t="s">
        <v>89</v>
      </c>
      <c r="G15" s="18" t="s">
        <v>134</v>
      </c>
      <c r="H15" s="97"/>
      <c r="I15" s="88">
        <f t="shared" si="1"/>
        <v>-1.5</v>
      </c>
      <c r="J15" s="97"/>
      <c r="K15" s="97"/>
      <c r="L15" s="89" t="e">
        <f>((H15-1.5)-C14/2)/C14</f>
        <v>#DIV/0!</v>
      </c>
      <c r="M15" s="89" t="e">
        <f>((K15-1.5)-C14/2)/C14</f>
        <v>#DIV/0!</v>
      </c>
      <c r="N15" s="118"/>
      <c r="O15" s="118"/>
      <c r="P15" s="108">
        <f t="shared" si="0"/>
        <v>0</v>
      </c>
    </row>
    <row r="16" spans="1:17" x14ac:dyDescent="0.25">
      <c r="A16" t="s">
        <v>78</v>
      </c>
      <c r="C16" s="95"/>
      <c r="D16" s="86" t="s">
        <v>89</v>
      </c>
      <c r="G16" s="18" t="s">
        <v>135</v>
      </c>
      <c r="H16" s="97"/>
      <c r="I16" s="88">
        <f t="shared" si="1"/>
        <v>-1.5</v>
      </c>
      <c r="J16" s="97"/>
      <c r="K16" s="97"/>
      <c r="L16" s="89" t="e">
        <f>((H16-1.5)-C14/2)/C14</f>
        <v>#DIV/0!</v>
      </c>
      <c r="M16" s="89" t="e">
        <f>((K16-1.5)-C14/2)/C14</f>
        <v>#DIV/0!</v>
      </c>
      <c r="N16" s="118"/>
      <c r="O16" s="118"/>
      <c r="P16" s="108">
        <f t="shared" si="0"/>
        <v>0</v>
      </c>
    </row>
    <row r="17" spans="1:27" x14ac:dyDescent="0.25">
      <c r="A17" t="s">
        <v>79</v>
      </c>
      <c r="C17" s="92"/>
      <c r="D17" s="84" t="s">
        <v>108</v>
      </c>
      <c r="G17" s="18" t="s">
        <v>136</v>
      </c>
      <c r="H17" s="97"/>
      <c r="I17" s="88">
        <f t="shared" si="1"/>
        <v>-1.5</v>
      </c>
      <c r="J17" s="97"/>
      <c r="K17" s="97"/>
      <c r="L17" s="89" t="e">
        <f>((H17-1.5)-C14/2)/C14</f>
        <v>#DIV/0!</v>
      </c>
      <c r="M17" s="89" t="e">
        <f>((K17-1.5)-C14/2)/C14</f>
        <v>#DIV/0!</v>
      </c>
      <c r="N17" s="118"/>
      <c r="O17" s="118"/>
      <c r="P17" s="108">
        <f t="shared" si="0"/>
        <v>0</v>
      </c>
    </row>
    <row r="18" spans="1:27" x14ac:dyDescent="0.25">
      <c r="A18" t="s">
        <v>76</v>
      </c>
      <c r="C18" s="49">
        <f>1.28*P29</f>
        <v>0</v>
      </c>
      <c r="D18" s="87" t="s">
        <v>74</v>
      </c>
      <c r="G18" s="18" t="s">
        <v>137</v>
      </c>
      <c r="H18" s="97"/>
      <c r="I18" s="88">
        <f t="shared" si="1"/>
        <v>-1.5</v>
      </c>
      <c r="J18" s="97"/>
      <c r="K18" s="97"/>
      <c r="L18" s="89" t="e">
        <f>((H18-1.5)-C14/2)/C14</f>
        <v>#DIV/0!</v>
      </c>
      <c r="M18" s="89" t="e">
        <f>((K18-1.5)-C14/2)/C14</f>
        <v>#DIV/0!</v>
      </c>
      <c r="N18" s="118"/>
      <c r="O18" s="118"/>
      <c r="P18" s="108">
        <f t="shared" si="0"/>
        <v>0</v>
      </c>
    </row>
    <row r="19" spans="1:27" x14ac:dyDescent="0.25">
      <c r="A19" t="s">
        <v>118</v>
      </c>
      <c r="C19" s="46">
        <f>I29*E19</f>
        <v>0</v>
      </c>
      <c r="D19" s="83" t="s">
        <v>100</v>
      </c>
      <c r="E19" s="65" t="b">
        <f>IF(C15=1,0.045,IF(C15=1.25,0.078,IF(C15=1.5,0.016,IF(C15=2,0.174,IF(C15=3,0.384,IF(C15=4,0.65))))))</f>
        <v>0</v>
      </c>
      <c r="F19" s="65" t="s">
        <v>116</v>
      </c>
      <c r="G19" s="18" t="s">
        <v>138</v>
      </c>
      <c r="H19" s="97"/>
      <c r="I19" s="88">
        <f t="shared" si="1"/>
        <v>-1.5</v>
      </c>
      <c r="J19" s="97"/>
      <c r="K19" s="97"/>
      <c r="L19" s="89" t="e">
        <f>((H19-1.5)-C14/2)/C14</f>
        <v>#DIV/0!</v>
      </c>
      <c r="M19" s="89" t="e">
        <f>((K19-1.5)-C14/2)/C14</f>
        <v>#DIV/0!</v>
      </c>
      <c r="N19" s="118"/>
      <c r="O19" s="118"/>
      <c r="P19" s="108">
        <f t="shared" si="0"/>
        <v>0</v>
      </c>
    </row>
    <row r="20" spans="1:27" x14ac:dyDescent="0.25">
      <c r="A20" s="287" t="s">
        <v>168</v>
      </c>
      <c r="B20" s="291"/>
      <c r="C20" s="288"/>
      <c r="D20" s="94"/>
      <c r="G20" s="18" t="s">
        <v>139</v>
      </c>
      <c r="H20" s="97"/>
      <c r="I20" s="88">
        <f t="shared" si="1"/>
        <v>-1.5</v>
      </c>
      <c r="J20" s="97"/>
      <c r="K20" s="97"/>
      <c r="L20" s="89" t="e">
        <f>((H20-1.5)-C14/2)/C14</f>
        <v>#DIV/0!</v>
      </c>
      <c r="M20" s="89" t="e">
        <f>((K20-1.5)-C14/2)/C14</f>
        <v>#DIV/0!</v>
      </c>
      <c r="N20" s="118"/>
      <c r="O20" s="118"/>
      <c r="P20" s="108">
        <f t="shared" si="0"/>
        <v>0</v>
      </c>
    </row>
    <row r="21" spans="1:27" x14ac:dyDescent="0.25">
      <c r="A21" s="282" t="s">
        <v>167</v>
      </c>
      <c r="B21" s="282"/>
      <c r="C21" s="46">
        <f>C11*D20/100</f>
        <v>0</v>
      </c>
      <c r="D21" s="83" t="s">
        <v>108</v>
      </c>
      <c r="G21" s="18" t="s">
        <v>140</v>
      </c>
      <c r="H21" s="97"/>
      <c r="I21" s="88">
        <f>H21-1.5</f>
        <v>-1.5</v>
      </c>
      <c r="J21" s="91"/>
      <c r="K21" s="97"/>
      <c r="L21" s="89" t="e">
        <f>((H21-1.5)-C14/2)/C14</f>
        <v>#DIV/0!</v>
      </c>
      <c r="M21" s="89" t="e">
        <f>((K21-1.5)-C14/2)/C14</f>
        <v>#DIV/0!</v>
      </c>
      <c r="N21" s="118"/>
      <c r="O21" s="118"/>
      <c r="P21" s="108">
        <f t="shared" si="0"/>
        <v>0</v>
      </c>
    </row>
    <row r="22" spans="1:27" x14ac:dyDescent="0.25">
      <c r="A22" s="282" t="s">
        <v>115</v>
      </c>
      <c r="B22" s="282"/>
      <c r="C22" s="72">
        <f>C11*E22</f>
        <v>0</v>
      </c>
      <c r="D22" s="127" t="s">
        <v>100</v>
      </c>
      <c r="E22" s="65" t="b">
        <f>IF(C12=1,0.45,IF(C12=1.25,0.078,IF(C12=1.5,0.106,IF(C12=2,0.174,IF(C12=3,0.384,IF(C12=4,0.65))))))</f>
        <v>0</v>
      </c>
      <c r="F22" s="65" t="s">
        <v>117</v>
      </c>
      <c r="G22" s="18" t="s">
        <v>141</v>
      </c>
      <c r="H22" s="97"/>
      <c r="I22" s="88">
        <f t="shared" si="1"/>
        <v>-1.5</v>
      </c>
      <c r="J22" s="91"/>
      <c r="K22" s="97"/>
      <c r="L22" s="89" t="e">
        <f>((H22-1.5)-C14/2)/C14</f>
        <v>#DIV/0!</v>
      </c>
      <c r="M22" s="89" t="e">
        <f>((K22-1.5)-C14/2)/C14</f>
        <v>#DIV/0!</v>
      </c>
      <c r="N22" s="118"/>
      <c r="O22" s="118"/>
      <c r="P22" s="108">
        <f t="shared" si="0"/>
        <v>0</v>
      </c>
    </row>
    <row r="23" spans="1:27" x14ac:dyDescent="0.25">
      <c r="C23" s="129"/>
      <c r="D23" s="129"/>
      <c r="E23" s="65"/>
      <c r="F23" s="65"/>
      <c r="G23" s="18" t="s">
        <v>142</v>
      </c>
      <c r="H23" s="97"/>
      <c r="I23" s="88">
        <f t="shared" si="1"/>
        <v>-1.5</v>
      </c>
      <c r="J23" s="91"/>
      <c r="K23" s="97"/>
      <c r="L23" s="89" t="e">
        <f>((H23-1.5)-C14/2)/C14</f>
        <v>#DIV/0!</v>
      </c>
      <c r="M23" s="89" t="e">
        <f>((K23-1.5)-C14/2)/C14</f>
        <v>#DIV/0!</v>
      </c>
      <c r="N23" s="118"/>
      <c r="O23" s="118"/>
      <c r="P23" s="108">
        <f t="shared" si="0"/>
        <v>0</v>
      </c>
    </row>
    <row r="24" spans="1:27" x14ac:dyDescent="0.25">
      <c r="A24" t="s">
        <v>121</v>
      </c>
      <c r="C24" s="49">
        <f>C6+C22</f>
        <v>0</v>
      </c>
      <c r="D24" s="87" t="s">
        <v>100</v>
      </c>
      <c r="G24" s="18" t="s">
        <v>143</v>
      </c>
      <c r="H24" s="97"/>
      <c r="I24" s="88">
        <f t="shared" si="1"/>
        <v>-1.5</v>
      </c>
      <c r="J24" s="91"/>
      <c r="K24" s="97"/>
      <c r="L24" s="89" t="e">
        <f>((H24-1.5)-C14/2)/C14</f>
        <v>#DIV/0!</v>
      </c>
      <c r="M24" s="89" t="e">
        <f>((K24-1.5)-C14/2)/C14</f>
        <v>#DIV/0!</v>
      </c>
      <c r="N24" s="118"/>
      <c r="O24" s="118"/>
      <c r="P24" s="108">
        <f t="shared" si="0"/>
        <v>0</v>
      </c>
    </row>
    <row r="25" spans="1:27" x14ac:dyDescent="0.25">
      <c r="A25" t="s">
        <v>20</v>
      </c>
      <c r="C25" s="46">
        <f>C13+C21+3</f>
        <v>3</v>
      </c>
      <c r="D25" s="83" t="s">
        <v>108</v>
      </c>
      <c r="G25" s="18" t="s">
        <v>144</v>
      </c>
      <c r="H25" s="97"/>
      <c r="I25" s="88">
        <f t="shared" si="1"/>
        <v>-1.5</v>
      </c>
      <c r="J25" s="91"/>
      <c r="K25" s="97"/>
      <c r="L25" s="89" t="e">
        <f>((H25-1.5)-C14/2)/C14</f>
        <v>#DIV/0!</v>
      </c>
      <c r="M25" s="89" t="e">
        <f>((K25-1.5)-C14/2)/C14</f>
        <v>#DIV/0!</v>
      </c>
      <c r="N25" s="118"/>
      <c r="O25" s="118"/>
      <c r="P25" s="108">
        <f t="shared" si="0"/>
        <v>0</v>
      </c>
    </row>
    <row r="26" spans="1:27" x14ac:dyDescent="0.25">
      <c r="A26" s="42" t="e">
        <f>IF(C24/C19&gt;=7,"Dosage is Acceptable","Dosage is Unacceptable")</f>
        <v>#DIV/0!</v>
      </c>
      <c r="B26" s="42"/>
      <c r="G26" s="18" t="s">
        <v>145</v>
      </c>
      <c r="H26" s="97"/>
      <c r="I26" s="88">
        <f t="shared" si="1"/>
        <v>-1.5</v>
      </c>
      <c r="J26" s="91"/>
      <c r="K26" s="97"/>
      <c r="L26" s="89" t="e">
        <f>((H26-1.5)-C14/2)/C14</f>
        <v>#DIV/0!</v>
      </c>
      <c r="M26" s="89" t="e">
        <f>((K26-1.5)-C14/2)/C14</f>
        <v>#DIV/0!</v>
      </c>
      <c r="N26" s="118"/>
      <c r="O26" s="118"/>
      <c r="P26" s="108">
        <f t="shared" si="0"/>
        <v>0</v>
      </c>
    </row>
    <row r="27" spans="1:27" x14ac:dyDescent="0.25">
      <c r="G27" s="18" t="s">
        <v>146</v>
      </c>
      <c r="H27" s="97"/>
      <c r="I27" s="88">
        <f t="shared" si="1"/>
        <v>-1.5</v>
      </c>
      <c r="J27" s="91"/>
      <c r="K27" s="97"/>
      <c r="L27" s="89" t="e">
        <f>((H27-1.5)-C14/2)/C14</f>
        <v>#DIV/0!</v>
      </c>
      <c r="M27" s="89" t="e">
        <f>((K27-1.5)-C14/2)/C14</f>
        <v>#DIV/0!</v>
      </c>
      <c r="N27" s="118"/>
      <c r="O27" s="118"/>
      <c r="P27" s="108">
        <f t="shared" si="0"/>
        <v>0</v>
      </c>
    </row>
    <row r="28" spans="1:27" ht="13.8" thickBot="1" x14ac:dyDescent="0.3">
      <c r="A28" s="104" t="s">
        <v>4</v>
      </c>
      <c r="B28" s="107"/>
      <c r="G28" s="18" t="s">
        <v>147</v>
      </c>
      <c r="H28" s="98"/>
      <c r="I28" s="88">
        <f t="shared" si="1"/>
        <v>-1.5</v>
      </c>
      <c r="J28" s="91"/>
      <c r="K28" s="97"/>
      <c r="L28" s="89" t="e">
        <f>((H28-1.5)-C14/2)/C14</f>
        <v>#DIV/0!</v>
      </c>
      <c r="M28" s="89" t="e">
        <f>((K28-1.5)-C14/2)/C14</f>
        <v>#DIV/0!</v>
      </c>
      <c r="N28" s="118"/>
      <c r="O28" s="132"/>
      <c r="P28" s="133">
        <f t="shared" si="0"/>
        <v>0</v>
      </c>
    </row>
    <row r="29" spans="1:27" ht="13.8" thickTop="1" x14ac:dyDescent="0.25">
      <c r="A29" s="106" t="s">
        <v>2</v>
      </c>
      <c r="B29" s="12" t="s">
        <v>3</v>
      </c>
      <c r="H29" s="85">
        <f>SUM(H9:H28)</f>
        <v>0</v>
      </c>
      <c r="I29" s="103">
        <f>I9+I10+I11+I12+I13+I14+I15+I16+I17+I18+I19+I20+I21+I22+I23+I24+I25+I26+I27+I27+I28</f>
        <v>-31.5</v>
      </c>
      <c r="J29" s="102"/>
      <c r="K29" s="102"/>
      <c r="O29" s="134">
        <f>SUM(O9:O28)</f>
        <v>0</v>
      </c>
      <c r="P29" s="109">
        <f>SUM(P9:P28)</f>
        <v>0</v>
      </c>
      <c r="Q29" s="83" t="s">
        <v>169</v>
      </c>
    </row>
    <row r="30" spans="1:27" x14ac:dyDescent="0.25">
      <c r="A30" s="91"/>
      <c r="B30" s="92"/>
      <c r="C30" s="73">
        <f>A30*B30/144</f>
        <v>0</v>
      </c>
      <c r="D30" s="101" t="s">
        <v>1</v>
      </c>
      <c r="E30" s="83"/>
      <c r="N30" s="3"/>
    </row>
    <row r="31" spans="1:27" x14ac:dyDescent="0.25">
      <c r="C31" s="131">
        <f>C30*7.48</f>
        <v>0</v>
      </c>
      <c r="D31" s="128" t="s">
        <v>5</v>
      </c>
      <c r="E31" s="87"/>
      <c r="G31" s="276" t="s">
        <v>86</v>
      </c>
      <c r="H31" s="277"/>
      <c r="I31" s="277"/>
      <c r="J31" s="135"/>
      <c r="K31" s="59"/>
      <c r="L31" s="10"/>
      <c r="N31" s="3"/>
      <c r="X31" s="292">
        <f>N22+N29+6*23</f>
        <v>138</v>
      </c>
      <c r="Y31" s="277"/>
      <c r="Z31" s="99" t="s">
        <v>100</v>
      </c>
      <c r="AA31" s="117"/>
    </row>
    <row r="32" spans="1:27" x14ac:dyDescent="0.25">
      <c r="A32" t="s">
        <v>12</v>
      </c>
      <c r="C32" s="46" t="e">
        <f>C24/C31</f>
        <v>#DIV/0!</v>
      </c>
      <c r="D32" s="83" t="s">
        <v>108</v>
      </c>
      <c r="N32" s="3"/>
    </row>
    <row r="33" spans="1:18" x14ac:dyDescent="0.25">
      <c r="A33" t="s">
        <v>122</v>
      </c>
      <c r="F33" s="66"/>
      <c r="G33" s="2"/>
      <c r="H33" s="2"/>
      <c r="I33" s="2"/>
      <c r="J33" s="2"/>
      <c r="K33" s="2"/>
      <c r="L33" s="107"/>
      <c r="M33" s="2"/>
      <c r="N33" s="2"/>
      <c r="O33" s="2"/>
      <c r="P33" s="2"/>
      <c r="Q33" s="2"/>
      <c r="R33" s="130"/>
    </row>
    <row r="34" spans="1:18" x14ac:dyDescent="0.25">
      <c r="A34" t="s">
        <v>153</v>
      </c>
      <c r="F34" t="s">
        <v>119</v>
      </c>
      <c r="J34" s="21"/>
      <c r="K34" s="21"/>
      <c r="M34" s="21"/>
      <c r="N34" s="21"/>
    </row>
    <row r="35" spans="1:18" x14ac:dyDescent="0.25">
      <c r="A35" s="2" t="s">
        <v>152</v>
      </c>
      <c r="B35" s="2"/>
      <c r="C35" s="2"/>
      <c r="F35" t="s">
        <v>125</v>
      </c>
      <c r="O35" s="21"/>
      <c r="P35" s="21"/>
      <c r="Q35" s="21"/>
    </row>
    <row r="36" spans="1:18" x14ac:dyDescent="0.25">
      <c r="A36" t="s">
        <v>123</v>
      </c>
      <c r="F36" t="s">
        <v>124</v>
      </c>
      <c r="O36" s="21"/>
      <c r="P36" s="21"/>
      <c r="Q36" s="21"/>
    </row>
    <row r="37" spans="1:18" x14ac:dyDescent="0.25">
      <c r="A37" t="s">
        <v>170</v>
      </c>
      <c r="F37" t="s">
        <v>127</v>
      </c>
    </row>
    <row r="38" spans="1:18" x14ac:dyDescent="0.25">
      <c r="A38" t="s">
        <v>155</v>
      </c>
      <c r="C38" s="46" t="b">
        <f>IF(C5=3,1000,IF(C5=4,1250,IF(C5=5,1500)))</f>
        <v>0</v>
      </c>
      <c r="D38" s="83" t="s">
        <v>120</v>
      </c>
      <c r="F38" t="s">
        <v>48</v>
      </c>
    </row>
    <row r="39" spans="1:18" x14ac:dyDescent="0.25">
      <c r="A39" t="s">
        <v>348</v>
      </c>
    </row>
  </sheetData>
  <mergeCells count="13">
    <mergeCell ref="X31:Y31"/>
    <mergeCell ref="G31:I31"/>
    <mergeCell ref="G5:J5"/>
    <mergeCell ref="L3:L8"/>
    <mergeCell ref="M3:M8"/>
    <mergeCell ref="A1:J1"/>
    <mergeCell ref="A22:B22"/>
    <mergeCell ref="P3:P8"/>
    <mergeCell ref="F3:H3"/>
    <mergeCell ref="A10:B10"/>
    <mergeCell ref="O3:O8"/>
    <mergeCell ref="A21:B21"/>
    <mergeCell ref="A20:C20"/>
  </mergeCells>
  <phoneticPr fontId="0" type="noConversion"/>
  <printOptions horizontalCentered="1" verticalCentered="1"/>
  <pageMargins left="0.3" right="0.25" top="0.4" bottom="0.56000000000000005" header="0.5" footer="0.5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J48"/>
  <sheetViews>
    <sheetView workbookViewId="0">
      <selection activeCell="C3" sqref="C3"/>
    </sheetView>
  </sheetViews>
  <sheetFormatPr defaultRowHeight="13.2" x14ac:dyDescent="0.25"/>
  <cols>
    <col min="3" max="3" width="10.33203125" customWidth="1"/>
    <col min="7" max="7" width="7.5546875" customWidth="1"/>
  </cols>
  <sheetData>
    <row r="1" spans="1:10" ht="19.5" customHeight="1" x14ac:dyDescent="0.3">
      <c r="A1" s="236" t="s">
        <v>0</v>
      </c>
      <c r="B1" s="281"/>
      <c r="C1" s="281"/>
      <c r="D1" s="281"/>
      <c r="E1" s="281"/>
      <c r="F1" s="281"/>
      <c r="G1" s="281"/>
      <c r="H1" s="281"/>
      <c r="I1" s="281"/>
      <c r="J1" s="281"/>
    </row>
    <row r="3" spans="1:10" ht="13.8" thickBot="1" x14ac:dyDescent="0.3">
      <c r="A3" s="121" t="s">
        <v>26</v>
      </c>
      <c r="B3" s="23"/>
      <c r="C3" s="23"/>
      <c r="D3" s="23"/>
      <c r="E3" s="120" t="s">
        <v>27</v>
      </c>
      <c r="F3" s="237"/>
      <c r="G3" s="237"/>
      <c r="H3" s="120" t="s">
        <v>50</v>
      </c>
      <c r="I3" s="23"/>
    </row>
    <row r="5" spans="1:10" x14ac:dyDescent="0.25">
      <c r="A5" s="1" t="s">
        <v>21</v>
      </c>
      <c r="B5" s="1" t="s">
        <v>22</v>
      </c>
      <c r="C5" s="1"/>
      <c r="F5" t="s">
        <v>30</v>
      </c>
    </row>
    <row r="6" spans="1:10" x14ac:dyDescent="0.25">
      <c r="A6" s="91"/>
      <c r="B6" s="91"/>
      <c r="C6" s="13">
        <f>A6-B6</f>
        <v>0</v>
      </c>
      <c r="D6" s="21" t="s">
        <v>23</v>
      </c>
      <c r="F6" s="39" t="e">
        <f>D11*150/D10</f>
        <v>#DIV/0!</v>
      </c>
      <c r="G6" s="38" t="e">
        <f>IF(F6&gt;1500,"Dose the System","Gravity unless Elevation Problems")</f>
        <v>#DIV/0!</v>
      </c>
    </row>
    <row r="7" spans="1:10" x14ac:dyDescent="0.25">
      <c r="A7" s="12" t="s">
        <v>24</v>
      </c>
      <c r="C7" s="11" t="e">
        <f>C6/A8*100</f>
        <v>#DIV/0!</v>
      </c>
      <c r="D7" s="37" t="s">
        <v>25</v>
      </c>
      <c r="F7" t="s">
        <v>31</v>
      </c>
    </row>
    <row r="8" spans="1:10" x14ac:dyDescent="0.25">
      <c r="A8" s="91"/>
      <c r="C8" s="16" t="e">
        <f>IF(C7&gt;2,"Curtain drain acceptable","Perimeter Drain Surrounding")</f>
        <v>#DIV/0!</v>
      </c>
      <c r="D8" s="16"/>
      <c r="F8" s="17" t="s">
        <v>33</v>
      </c>
    </row>
    <row r="9" spans="1:10" x14ac:dyDescent="0.25">
      <c r="F9" s="1" t="s">
        <v>32</v>
      </c>
    </row>
    <row r="10" spans="1:10" x14ac:dyDescent="0.25">
      <c r="C10" s="14" t="s">
        <v>28</v>
      </c>
      <c r="D10" s="91"/>
      <c r="F10" s="17" t="s">
        <v>34</v>
      </c>
    </row>
    <row r="11" spans="1:10" x14ac:dyDescent="0.25">
      <c r="C11" s="18" t="s">
        <v>29</v>
      </c>
      <c r="D11" s="91"/>
      <c r="F11" t="s">
        <v>49</v>
      </c>
    </row>
    <row r="12" spans="1:10" ht="15" x14ac:dyDescent="0.25">
      <c r="A12" s="5" t="e">
        <f>IF(C7&gt;=15,"Slope Unacceptable for Subsurface System","Slope Acceptable for Subsurface System")</f>
        <v>#DIV/0!</v>
      </c>
    </row>
    <row r="13" spans="1:10" ht="13.8" thickBot="1" x14ac:dyDescent="0.3">
      <c r="A13" s="23"/>
      <c r="B13" s="23"/>
      <c r="C13" s="23"/>
      <c r="D13" s="23"/>
      <c r="E13" s="23"/>
      <c r="F13" s="23"/>
      <c r="G13" s="23"/>
      <c r="H13" s="23"/>
      <c r="I13" s="23"/>
    </row>
    <row r="15" spans="1:10" x14ac:dyDescent="0.25">
      <c r="A15" s="25" t="s">
        <v>4</v>
      </c>
      <c r="B15" s="25"/>
      <c r="C15" s="2"/>
      <c r="D15" s="2"/>
      <c r="F15" s="14" t="s">
        <v>6</v>
      </c>
      <c r="G15" s="15"/>
      <c r="H15" s="15"/>
    </row>
    <row r="16" spans="1:10" x14ac:dyDescent="0.25">
      <c r="A16" s="26" t="s">
        <v>2</v>
      </c>
      <c r="B16" s="12" t="s">
        <v>3</v>
      </c>
      <c r="F16" s="20" t="s">
        <v>7</v>
      </c>
      <c r="G16" s="28"/>
      <c r="H16" s="33"/>
    </row>
    <row r="17" spans="1:9" x14ac:dyDescent="0.25">
      <c r="A17" s="91"/>
      <c r="B17" s="92"/>
      <c r="C17" s="27">
        <f>A17*B17/144</f>
        <v>0</v>
      </c>
      <c r="D17" s="14" t="s">
        <v>1</v>
      </c>
      <c r="E17" s="28"/>
      <c r="F17" s="91">
        <f>D11</f>
        <v>0</v>
      </c>
      <c r="G17" s="31">
        <f>F17*150</f>
        <v>0</v>
      </c>
      <c r="H17" s="32" t="s">
        <v>8</v>
      </c>
    </row>
    <row r="18" spans="1:9" x14ac:dyDescent="0.25">
      <c r="C18" s="14">
        <f>C17*7.48</f>
        <v>0</v>
      </c>
      <c r="D18" s="14" t="s">
        <v>5</v>
      </c>
      <c r="E18" s="14"/>
    </row>
    <row r="19" spans="1:9" x14ac:dyDescent="0.25">
      <c r="H19" t="s">
        <v>184</v>
      </c>
    </row>
    <row r="20" spans="1:9" x14ac:dyDescent="0.25">
      <c r="A20" s="21" t="s">
        <v>9</v>
      </c>
      <c r="B20" s="1"/>
      <c r="F20" s="52" t="s">
        <v>185</v>
      </c>
      <c r="G20" s="52"/>
      <c r="H20" s="52" t="s">
        <v>186</v>
      </c>
      <c r="I20" s="52"/>
    </row>
    <row r="21" spans="1:9" x14ac:dyDescent="0.25">
      <c r="A21" s="12" t="s">
        <v>11</v>
      </c>
      <c r="B21" s="20" t="s">
        <v>10</v>
      </c>
      <c r="C21" s="29">
        <f>A22/12*0.5*A22/12*0.5*B22*3.14*7.48</f>
        <v>0</v>
      </c>
      <c r="D21" s="34" t="s">
        <v>13</v>
      </c>
      <c r="E21" s="30"/>
      <c r="F21" s="142"/>
      <c r="H21" s="143">
        <f>F21*D27/1.28</f>
        <v>0</v>
      </c>
      <c r="I21" s="144"/>
    </row>
    <row r="22" spans="1:9" x14ac:dyDescent="0.25">
      <c r="A22" s="91"/>
      <c r="B22" s="92"/>
      <c r="C22" s="29">
        <f>G17+C21</f>
        <v>0</v>
      </c>
      <c r="D22" s="11" t="s">
        <v>187</v>
      </c>
      <c r="E22" s="11"/>
      <c r="F22" s="10"/>
      <c r="H22" s="145">
        <f>F22*D27/1.28</f>
        <v>0</v>
      </c>
    </row>
    <row r="23" spans="1:9" x14ac:dyDescent="0.25">
      <c r="C23" s="29" t="e">
        <f>C22/C18</f>
        <v>#DIV/0!</v>
      </c>
      <c r="D23" s="11" t="s">
        <v>12</v>
      </c>
      <c r="E23" s="11"/>
      <c r="F23" s="10"/>
      <c r="H23" s="134">
        <f>F23*D27/1.28</f>
        <v>0</v>
      </c>
      <c r="I23" s="144"/>
    </row>
    <row r="24" spans="1:9" ht="13.8" thickBot="1" x14ac:dyDescent="0.3">
      <c r="F24" s="10"/>
      <c r="H24" s="134">
        <f>F24*D27/1.28</f>
        <v>0</v>
      </c>
      <c r="I24" s="144"/>
    </row>
    <row r="25" spans="1:9" ht="13.8" thickBot="1" x14ac:dyDescent="0.3">
      <c r="A25" t="s">
        <v>188</v>
      </c>
      <c r="D25" s="146">
        <v>325</v>
      </c>
      <c r="F25" s="10"/>
      <c r="H25" s="134">
        <f>F25*D27/1.28</f>
        <v>0</v>
      </c>
      <c r="I25" s="144"/>
    </row>
    <row r="26" spans="1:9" x14ac:dyDescent="0.25">
      <c r="A26" t="s">
        <v>189</v>
      </c>
      <c r="D26" s="85">
        <f>C22*0.1</f>
        <v>0</v>
      </c>
      <c r="F26" s="10"/>
      <c r="H26" s="134">
        <f>F26*D27/1.28</f>
        <v>0</v>
      </c>
      <c r="I26" s="144"/>
    </row>
    <row r="27" spans="1:9" x14ac:dyDescent="0.25">
      <c r="A27" t="s">
        <v>190</v>
      </c>
      <c r="D27" s="147">
        <f>D26/D25</f>
        <v>0</v>
      </c>
      <c r="F27" s="10"/>
      <c r="H27" s="134">
        <f>F27*D27/1.28</f>
        <v>0</v>
      </c>
      <c r="I27" s="144"/>
    </row>
    <row r="28" spans="1:9" x14ac:dyDescent="0.25">
      <c r="F28" s="10"/>
      <c r="H28" s="134">
        <f>F28*D27/1.28</f>
        <v>0</v>
      </c>
      <c r="I28" s="144"/>
    </row>
    <row r="29" spans="1:9" x14ac:dyDescent="0.25">
      <c r="C29" s="1" t="s">
        <v>16</v>
      </c>
      <c r="D29" s="1" t="s">
        <v>17</v>
      </c>
      <c r="F29" s="10"/>
      <c r="H29" s="134">
        <f>F29*D27/1.28</f>
        <v>0</v>
      </c>
      <c r="I29" s="144"/>
    </row>
    <row r="30" spans="1:9" x14ac:dyDescent="0.25">
      <c r="A30" s="35" t="s">
        <v>15</v>
      </c>
      <c r="B30" s="14"/>
      <c r="C30" s="91"/>
      <c r="D30" s="91"/>
      <c r="E30" s="91"/>
      <c r="F30" s="10"/>
      <c r="H30" s="134">
        <f>F30*D27/1.28</f>
        <v>0</v>
      </c>
      <c r="I30" s="144"/>
    </row>
    <row r="31" spans="1:9" x14ac:dyDescent="0.25">
      <c r="A31" s="14" t="s">
        <v>14</v>
      </c>
      <c r="B31" s="14"/>
      <c r="C31" s="29">
        <f>C30-D30</f>
        <v>0</v>
      </c>
      <c r="H31" t="s">
        <v>191</v>
      </c>
    </row>
    <row r="32" spans="1:9" x14ac:dyDescent="0.25">
      <c r="A32" s="14" t="s">
        <v>18</v>
      </c>
      <c r="B32" s="14"/>
      <c r="C32" s="29">
        <f>B22/100*E30</f>
        <v>0</v>
      </c>
      <c r="D32" s="3" t="s">
        <v>19</v>
      </c>
    </row>
    <row r="33" spans="1:9" x14ac:dyDescent="0.25">
      <c r="A33" s="36" t="s">
        <v>20</v>
      </c>
      <c r="B33" s="36"/>
      <c r="C33" s="29">
        <f>C32+C31</f>
        <v>0</v>
      </c>
    </row>
    <row r="34" spans="1:9" x14ac:dyDescent="0.25">
      <c r="A34" s="17" t="s">
        <v>35</v>
      </c>
      <c r="B34" s="17"/>
      <c r="C34" s="17"/>
      <c r="D34" s="17"/>
      <c r="E34" s="17"/>
      <c r="F34" s="17" t="s">
        <v>192</v>
      </c>
    </row>
    <row r="35" spans="1:9" x14ac:dyDescent="0.25">
      <c r="A35" s="17" t="s">
        <v>36</v>
      </c>
      <c r="B35" s="17"/>
      <c r="C35" s="17"/>
      <c r="D35" s="17"/>
      <c r="E35" s="17"/>
      <c r="F35" s="17" t="s">
        <v>42</v>
      </c>
      <c r="G35" s="17"/>
      <c r="H35" s="17"/>
      <c r="I35" s="17"/>
    </row>
    <row r="36" spans="1:9" x14ac:dyDescent="0.25">
      <c r="A36" s="17" t="s">
        <v>52</v>
      </c>
      <c r="B36" s="17"/>
      <c r="C36" s="17"/>
      <c r="D36" s="17"/>
      <c r="E36" s="17"/>
      <c r="F36" s="17" t="s">
        <v>43</v>
      </c>
      <c r="G36" s="17"/>
      <c r="H36" s="17"/>
      <c r="I36" s="17"/>
    </row>
    <row r="37" spans="1:9" x14ac:dyDescent="0.25">
      <c r="A37" s="137" t="s">
        <v>173</v>
      </c>
      <c r="B37" s="137"/>
      <c r="C37" s="137"/>
      <c r="D37" s="137"/>
      <c r="E37" s="17"/>
      <c r="F37" s="17" t="s">
        <v>44</v>
      </c>
      <c r="G37" s="17"/>
      <c r="H37" s="17"/>
      <c r="I37" s="17"/>
    </row>
    <row r="38" spans="1:9" x14ac:dyDescent="0.25">
      <c r="A38" s="137" t="s">
        <v>174</v>
      </c>
      <c r="B38" s="137"/>
      <c r="C38" s="137"/>
      <c r="D38" s="137"/>
      <c r="E38" s="17"/>
      <c r="F38" s="17" t="s">
        <v>182</v>
      </c>
      <c r="G38" s="17">
        <f>H8-30</f>
        <v>-30</v>
      </c>
      <c r="H38" s="17" t="s">
        <v>180</v>
      </c>
      <c r="I38" s="17"/>
    </row>
    <row r="39" spans="1:9" x14ac:dyDescent="0.25">
      <c r="A39" s="17" t="s">
        <v>37</v>
      </c>
      <c r="B39" s="17"/>
      <c r="C39" s="17"/>
      <c r="D39" s="17"/>
      <c r="E39" s="17"/>
      <c r="F39" s="17" t="s">
        <v>182</v>
      </c>
      <c r="G39" s="17">
        <f>H8-24</f>
        <v>-24</v>
      </c>
      <c r="H39" s="17" t="s">
        <v>181</v>
      </c>
      <c r="I39" s="17"/>
    </row>
    <row r="40" spans="1:9" x14ac:dyDescent="0.25">
      <c r="A40" s="17" t="s">
        <v>38</v>
      </c>
      <c r="B40" s="17"/>
      <c r="C40" s="17"/>
      <c r="D40" s="17" t="e">
        <f>F6</f>
        <v>#DIV/0!</v>
      </c>
      <c r="E40" s="17"/>
      <c r="F40" s="17" t="s">
        <v>151</v>
      </c>
      <c r="G40" s="17"/>
      <c r="H40" s="17"/>
      <c r="I40" s="17"/>
    </row>
    <row r="41" spans="1:9" x14ac:dyDescent="0.25">
      <c r="A41" s="17" t="s">
        <v>39</v>
      </c>
      <c r="B41" s="17"/>
      <c r="C41" s="17" t="s">
        <v>149</v>
      </c>
      <c r="D41" s="17" t="s">
        <v>150</v>
      </c>
      <c r="E41" s="17"/>
      <c r="F41" s="17" t="s">
        <v>45</v>
      </c>
      <c r="G41" s="17"/>
      <c r="H41" s="17"/>
      <c r="I41" s="17"/>
    </row>
    <row r="42" spans="1:9" x14ac:dyDescent="0.25">
      <c r="A42" s="17" t="s">
        <v>40</v>
      </c>
      <c r="B42" s="17"/>
      <c r="C42" s="17"/>
      <c r="D42" s="17"/>
      <c r="E42" s="17"/>
      <c r="F42" s="17" t="s">
        <v>175</v>
      </c>
      <c r="G42" s="17"/>
      <c r="H42" s="17"/>
      <c r="I42" s="17"/>
    </row>
    <row r="43" spans="1:9" x14ac:dyDescent="0.25">
      <c r="A43" s="17" t="s">
        <v>41</v>
      </c>
      <c r="B43" s="17"/>
      <c r="C43" s="17"/>
      <c r="D43" s="17"/>
      <c r="E43" s="17"/>
      <c r="F43" s="268" t="s">
        <v>179</v>
      </c>
      <c r="G43" s="282"/>
      <c r="H43" s="282"/>
      <c r="I43" s="282"/>
    </row>
    <row r="44" spans="1:9" x14ac:dyDescent="0.25">
      <c r="A44" s="17" t="s">
        <v>183</v>
      </c>
      <c r="B44" s="17"/>
      <c r="C44" s="17"/>
      <c r="D44" s="17"/>
      <c r="E44" s="17"/>
      <c r="F44" s="17" t="s">
        <v>46</v>
      </c>
      <c r="G44" s="17"/>
      <c r="H44" s="17"/>
      <c r="I44" s="17"/>
    </row>
    <row r="45" spans="1:9" x14ac:dyDescent="0.25">
      <c r="A45" s="282" t="s">
        <v>51</v>
      </c>
      <c r="B45" s="282"/>
      <c r="C45" s="282"/>
      <c r="F45" s="17" t="s">
        <v>47</v>
      </c>
      <c r="G45" s="17"/>
      <c r="H45" s="17"/>
      <c r="I45" s="17"/>
    </row>
    <row r="46" spans="1:9" x14ac:dyDescent="0.25">
      <c r="A46" t="s">
        <v>165</v>
      </c>
    </row>
    <row r="47" spans="1:9" x14ac:dyDescent="0.25">
      <c r="A47" t="s">
        <v>193</v>
      </c>
    </row>
    <row r="48" spans="1:9" x14ac:dyDescent="0.25">
      <c r="A48" t="s">
        <v>48</v>
      </c>
    </row>
  </sheetData>
  <mergeCells count="4">
    <mergeCell ref="A1:J1"/>
    <mergeCell ref="F3:G3"/>
    <mergeCell ref="A45:C45"/>
    <mergeCell ref="F43:I43"/>
  </mergeCells>
  <phoneticPr fontId="0" type="noConversion"/>
  <pageMargins left="0.5" right="0.5" top="0.75" bottom="0.75" header="0.5" footer="0.5"/>
  <pageSetup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26"/>
  <sheetViews>
    <sheetView zoomScale="120" zoomScaleNormal="120" workbookViewId="0">
      <selection activeCell="C2" sqref="C2"/>
    </sheetView>
  </sheetViews>
  <sheetFormatPr defaultRowHeight="13.2" x14ac:dyDescent="0.25"/>
  <sheetData>
    <row r="1" spans="1:10" ht="17.399999999999999" x14ac:dyDescent="0.3">
      <c r="A1" s="236" t="s">
        <v>306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ht="13.8" thickBot="1" x14ac:dyDescent="0.3">
      <c r="A2" s="121" t="s">
        <v>26</v>
      </c>
      <c r="B2" s="122"/>
      <c r="C2" s="23"/>
      <c r="D2" s="123"/>
      <c r="E2" s="120" t="s">
        <v>27</v>
      </c>
      <c r="F2" s="237"/>
      <c r="G2" s="237"/>
      <c r="H2" s="120" t="s">
        <v>50</v>
      </c>
      <c r="I2" s="124"/>
    </row>
    <row r="3" spans="1:10" ht="17.399999999999999" x14ac:dyDescent="0.3">
      <c r="J3" s="6"/>
    </row>
    <row r="4" spans="1:10" x14ac:dyDescent="0.25">
      <c r="A4" t="s">
        <v>294</v>
      </c>
      <c r="F4" s="91"/>
      <c r="J4" s="7"/>
    </row>
    <row r="5" spans="1:10" x14ac:dyDescent="0.25">
      <c r="A5" t="s">
        <v>296</v>
      </c>
      <c r="F5" s="91"/>
      <c r="J5" s="24"/>
    </row>
    <row r="6" spans="1:10" x14ac:dyDescent="0.25">
      <c r="A6" t="s">
        <v>297</v>
      </c>
      <c r="F6" s="91"/>
      <c r="J6" s="24"/>
    </row>
    <row r="7" spans="1:10" x14ac:dyDescent="0.25">
      <c r="A7" t="s">
        <v>194</v>
      </c>
      <c r="F7" s="91"/>
    </row>
    <row r="8" spans="1:10" x14ac:dyDescent="0.25">
      <c r="A8" t="s">
        <v>295</v>
      </c>
      <c r="F8" s="91"/>
    </row>
    <row r="9" spans="1:10" x14ac:dyDescent="0.25">
      <c r="A9" t="s">
        <v>31</v>
      </c>
      <c r="F9" s="91"/>
    </row>
    <row r="10" spans="1:10" x14ac:dyDescent="0.25">
      <c r="A10" t="s">
        <v>33</v>
      </c>
      <c r="F10" s="91"/>
    </row>
    <row r="11" spans="1:10" x14ac:dyDescent="0.25">
      <c r="A11" s="17" t="s">
        <v>32</v>
      </c>
      <c r="F11" s="203"/>
    </row>
    <row r="12" spans="1:10" x14ac:dyDescent="0.25">
      <c r="A12" t="s">
        <v>34</v>
      </c>
      <c r="F12" s="91"/>
    </row>
    <row r="13" spans="1:10" x14ac:dyDescent="0.25">
      <c r="A13" t="s">
        <v>49</v>
      </c>
      <c r="F13" s="91"/>
    </row>
    <row r="14" spans="1:10" x14ac:dyDescent="0.25">
      <c r="A14" t="s">
        <v>28</v>
      </c>
      <c r="F14" s="91"/>
    </row>
    <row r="15" spans="1:10" x14ac:dyDescent="0.25">
      <c r="A15" t="s">
        <v>29</v>
      </c>
      <c r="F15" s="91"/>
    </row>
    <row r="16" spans="1:10" x14ac:dyDescent="0.25">
      <c r="A16" t="s">
        <v>298</v>
      </c>
      <c r="F16" s="91"/>
    </row>
    <row r="17" spans="1:6" x14ac:dyDescent="0.25">
      <c r="A17" t="s">
        <v>197</v>
      </c>
      <c r="F17" s="91"/>
    </row>
    <row r="18" spans="1:6" x14ac:dyDescent="0.25">
      <c r="A18" t="s">
        <v>299</v>
      </c>
      <c r="F18" s="91"/>
    </row>
    <row r="19" spans="1:6" x14ac:dyDescent="0.25">
      <c r="A19" s="17" t="s">
        <v>300</v>
      </c>
    </row>
    <row r="21" spans="1:6" x14ac:dyDescent="0.25">
      <c r="A21" t="s">
        <v>48</v>
      </c>
    </row>
    <row r="22" spans="1:6" x14ac:dyDescent="0.25">
      <c r="A22" t="s">
        <v>301</v>
      </c>
    </row>
    <row r="23" spans="1:6" x14ac:dyDescent="0.25">
      <c r="A23" t="s">
        <v>302</v>
      </c>
      <c r="F23">
        <f>F10-F7</f>
        <v>0</v>
      </c>
    </row>
    <row r="24" spans="1:6" x14ac:dyDescent="0.25">
      <c r="A24" t="s">
        <v>303</v>
      </c>
      <c r="F24">
        <f>F10-F7</f>
        <v>0</v>
      </c>
    </row>
    <row r="25" spans="1:6" x14ac:dyDescent="0.25">
      <c r="A25" t="s">
        <v>304</v>
      </c>
    </row>
    <row r="26" spans="1:6" x14ac:dyDescent="0.25">
      <c r="A26" t="s">
        <v>305</v>
      </c>
    </row>
  </sheetData>
  <mergeCells count="2">
    <mergeCell ref="A1:J1"/>
    <mergeCell ref="F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Permit Status</vt:lpstr>
      <vt:lpstr>Gravity and Flood Dose</vt:lpstr>
      <vt:lpstr>Presby 10-1-19</vt:lpstr>
      <vt:lpstr>ATL</vt:lpstr>
      <vt:lpstr>Sand Mound</vt:lpstr>
      <vt:lpstr>Pressure Distribution Center </vt:lpstr>
      <vt:lpstr>Pressure Distribution End Feed</vt:lpstr>
      <vt:lpstr>Pressure Header</vt:lpstr>
      <vt:lpstr>ATU for Existing Systems</vt:lpstr>
      <vt:lpstr>ATL!Print_Area</vt:lpstr>
      <vt:lpstr>'ATU for Existing Systems'!Print_Area</vt:lpstr>
      <vt:lpstr>'Gravity and Flood Dose'!Print_Area</vt:lpstr>
      <vt:lpstr>'Presby 10-1-19'!Print_Area</vt:lpstr>
      <vt:lpstr>'Pressure Distribution End Feed'!Print_Area</vt:lpstr>
      <vt:lpstr>'Sand Mound'!Print_Area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Lien</dc:creator>
  <cp:lastModifiedBy>Ginger Harrington</cp:lastModifiedBy>
  <cp:lastPrinted>2019-12-09T19:42:39Z</cp:lastPrinted>
  <dcterms:created xsi:type="dcterms:W3CDTF">1999-03-26T00:03:43Z</dcterms:created>
  <dcterms:modified xsi:type="dcterms:W3CDTF">2019-12-09T19:52:44Z</dcterms:modified>
</cp:coreProperties>
</file>